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Your history" sheetId="2" state="visible" r:id="rId4"/>
    <sheet name="Your price" sheetId="3" state="visible" r:id="rId5"/>
    <sheet name="Discount" sheetId="4" state="visible" r:id="rId6"/>
    <sheet name="Catalogu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<sst xmlns="http://schemas.openxmlformats.org/spreadsheetml/2006/main" count="126" uniqueCount="113">
  <si>
    <t xml:space="preserve">The Price Curve</t>
  </si>
  <si>
    <t xml:space="preserve">A free course from Hubricon: hubricon.com/learn/price-curve</t>
  </si>
  <si>
    <t xml:space="preserve">What this file does</t>
  </si>
  <si>
    <t xml:space="preserve">Your history reads your price elasticity from your own sales: how much your units move when your price does.</t>
  </si>
  <si>
    <t xml:space="preserve">Your price turns it into the price that makes the most, the next step toward it (never more than 5%), and what any change costs.</t>
  </si>
  <si>
    <t xml:space="preserve">Discount tells you how many extra units a sale has to sell to pay for itself, and how many your elasticity says it will.</t>
  </si>
  <si>
    <t xml:space="preserve">Catalogue ranks every SKU by what its next step is worth.</t>
  </si>
  <si>
    <t xml:space="preserve">How to use it</t>
  </si>
  <si>
    <t xml:space="preserve">Yellow cells are yours. Everything else is a formula, and the grey columns show the working.</t>
  </si>
  <si>
    <t xml:space="preserve">It opens on an example: an invented stainless garlic press. The history and the costs are invented; the fees are Amazon's, from its published 2026 schedule. Type over it.</t>
  </si>
  <si>
    <t xml:space="preserve">Where the arithmetic comes from</t>
  </si>
  <si>
    <t xml:space="preserve">The same arithmetic Hubricon's engine runs (models/elasticity.py and models/pricing_engine.py), checked against it figure by figure before this file was published.</t>
  </si>
  <si>
    <t xml:space="preserve">What one sheet cannot do: pool a SKU with its neighbours, correct for prices you set because demand moved, or put a range around the profit. The course says what each is for.</t>
  </si>
  <si>
    <t xml:space="preserve">Your history: read your elasticity from your own sales</t>
  </si>
  <si>
    <t xml:space="preserve">One row per period. Yellow cells are yours. The grey columns are the working, so you can check every step.</t>
  </si>
  <si>
    <t xml:space="preserve">Period</t>
  </si>
  <si>
    <t xml:space="preserve">Days in it</t>
  </si>
  <si>
    <t xml:space="preserve">Units sold</t>
  </si>
  <si>
    <t xml:space="preserve">Average price ($)</t>
  </si>
  <si>
    <t xml:space="preserve">Used</t>
  </si>
  <si>
    <t xml:space="preserve">ln price</t>
  </si>
  <si>
    <t xml:space="preserve">ln units a day</t>
  </si>
  <si>
    <t xml:space="preserve">x − x̄</t>
  </si>
  <si>
    <t xml:space="preserve">y − ȳ</t>
  </si>
  <si>
    <t xml:space="preserve">Residual</t>
  </si>
  <si>
    <t xml:space="preserve">Leverage</t>
  </si>
  <si>
    <t xml:space="preserve">HC3 term</t>
  </si>
  <si>
    <t xml:space="preserve">(price − mean)²</t>
  </si>
  <si>
    <t xml:space="preserve">The fit</t>
  </si>
  <si>
    <t xml:space="preserve">Feb 1–14</t>
  </si>
  <si>
    <t xml:space="preserve">Periods used</t>
  </si>
  <si>
    <t xml:space="preserve">Feb 15–28</t>
  </si>
  <si>
    <t xml:space="preserve">Average price</t>
  </si>
  <si>
    <t xml:space="preserve">Mar 1–15</t>
  </si>
  <si>
    <t xml:space="preserve">Price variation (CV)</t>
  </si>
  <si>
    <t xml:space="preserve">Mar 16–31</t>
  </si>
  <si>
    <t xml:space="preserve">Mean ln price (x̄)</t>
  </si>
  <si>
    <t xml:space="preserve">Apr 1–15</t>
  </si>
  <si>
    <t xml:space="preserve">Mean ln units a day (ȳ)</t>
  </si>
  <si>
    <t xml:space="preserve">Apr 16–30</t>
  </si>
  <si>
    <t xml:space="preserve">Sxx</t>
  </si>
  <si>
    <t xml:space="preserve">May 1–15</t>
  </si>
  <si>
    <t xml:space="preserve">Sxy</t>
  </si>
  <si>
    <t xml:space="preserve">May 16–31</t>
  </si>
  <si>
    <t xml:space="preserve">Elasticity</t>
  </si>
  <si>
    <t xml:space="preserve">Jun 1–15</t>
  </si>
  <si>
    <t xml:space="preserve">Intercept</t>
  </si>
  <si>
    <t xml:space="preserve">Jun 16–30</t>
  </si>
  <si>
    <t xml:space="preserve">Degrees of freedom</t>
  </si>
  <si>
    <t xml:space="preserve">Jul 1–15</t>
  </si>
  <si>
    <t xml:space="preserve">Residual sum of squares</t>
  </si>
  <si>
    <t xml:space="preserve">Jul 16–31</t>
  </si>
  <si>
    <t xml:space="preserve">R²</t>
  </si>
  <si>
    <t xml:space="preserve">Leverage too high for HC3</t>
  </si>
  <si>
    <t xml:space="preserve">Standard error (HC3)</t>
  </si>
  <si>
    <t xml:space="preserve">t for 95%</t>
  </si>
  <si>
    <t xml:space="preserve">95% interval: low</t>
  </si>
  <si>
    <t xml:space="preserve">95% interval: high</t>
  </si>
  <si>
    <t xml:space="preserve">Status</t>
  </si>
  <si>
    <t xml:space="preserve">Near −1?</t>
  </si>
  <si>
    <t xml:space="preserve">Read the elasticity with its interval. A wide one is the answer, not a failure.</t>
  </si>
  <si>
    <t xml:space="preserve">Units are per day before the log, so a 16-day period is not read as a better one.</t>
  </si>
  <si>
    <t xml:space="preserve">Your price: the best price, the next step, and what a change costs</t>
  </si>
  <si>
    <t xml:space="preserve">Yellow cells are yours. The elasticity comes from Your history; type over it to try another.</t>
  </si>
  <si>
    <t xml:space="preserve">Today's price</t>
  </si>
  <si>
    <t xml:space="preserve">Units a month at today's price</t>
  </si>
  <si>
    <t xml:space="preserve">Landed cost per unit</t>
  </si>
  <si>
    <t xml:space="preserve">Referral rate</t>
  </si>
  <si>
    <t xml:space="preserve">Fulfilment fee per unit</t>
  </si>
  <si>
    <t xml:space="preserve">Storage and other per-unit costs</t>
  </si>
  <si>
    <t xml:space="preserve">Standard error</t>
  </si>
  <si>
    <t xml:space="preserve">Status of the fit</t>
  </si>
  <si>
    <t xml:space="preserve">Cost per unit that doesn't move with price</t>
  </si>
  <si>
    <t xml:space="preserve">Contribution per unit today</t>
  </si>
  <si>
    <t xml:space="preserve">Profit a month today</t>
  </si>
  <si>
    <t xml:space="preserve">Best price</t>
  </si>
  <si>
    <t xml:space="preserve">Why there is none</t>
  </si>
  <si>
    <t xml:space="preserve">Direction</t>
  </si>
  <si>
    <t xml:space="preserve">Next price (one step, at most 5%)</t>
  </si>
  <si>
    <t xml:space="preserve">Profit a month at the next price</t>
  </si>
  <si>
    <t xml:space="preserve">Change a month</t>
  </si>
  <si>
    <t xml:space="preserve">Change a month at the best price</t>
  </si>
  <si>
    <t xml:space="preserve">Fee edge in between?</t>
  </si>
  <si>
    <t xml:space="preserve">What a change in price costs you, and what your elasticity says it does</t>
  </si>
  <si>
    <t xml:space="preserve">Change</t>
  </si>
  <si>
    <t xml:space="preserve">Price</t>
  </si>
  <si>
    <t xml:space="preserve">Contribution per unit</t>
  </si>
  <si>
    <t xml:space="preserve">Units can fall (or must rise) by</t>
  </si>
  <si>
    <t xml:space="preserve">Your elasticity says units move</t>
  </si>
  <si>
    <t xml:space="preserve">Profit change a month</t>
  </si>
  <si>
    <t xml:space="preserve">Break-even: profit is unchanged when units change by (contribution today ÷ contribution at the new price) − 1.</t>
  </si>
  <si>
    <t xml:space="preserve">Discount: what a sale has to sell to pay for itself</t>
  </si>
  <si>
    <t xml:space="preserve">Today's price, costs and elasticity come from Your price. Yellow cells are yours.</t>
  </si>
  <si>
    <t xml:space="preserve">Discount</t>
  </si>
  <si>
    <t xml:space="preserve">Any fee per unit sold on the deal (a coupon's, a deal's)</t>
  </si>
  <si>
    <t xml:space="preserve">Price on the discount</t>
  </si>
  <si>
    <t xml:space="preserve">Contribution per unit on the discount</t>
  </si>
  <si>
    <t xml:space="preserve">Extra units it must sell to break even</t>
  </si>
  <si>
    <t xml:space="preserve">Extra units your elasticity says it sells</t>
  </si>
  <si>
    <t xml:space="preserve">Profit change a month, at your elasticity</t>
  </si>
  <si>
    <t xml:space="preserve">Verdict</t>
  </si>
  <si>
    <t xml:space="preserve">A discount that wins a better rank can be worth more later; that is a bet on rank, and this sheet does not price it.</t>
  </si>
  <si>
    <t xml:space="preserve">Catalogue: every SKU, in order of what its next step is worth</t>
  </si>
  <si>
    <t xml:space="preserve">One row per SKU. Copy each SKU's elasticity, standard error and interval from its own Your history. Yellow cells are yours.</t>
  </si>
  <si>
    <t xml:space="preserve">SKU</t>
  </si>
  <si>
    <t xml:space="preserve">Units a month</t>
  </si>
  <si>
    <t xml:space="preserve">Landed cost</t>
  </si>
  <si>
    <t xml:space="preserve">Fixed fees per unit</t>
  </si>
  <si>
    <t xml:space="preserve">Interval low</t>
  </si>
  <si>
    <t xml:space="preserve">Interval high</t>
  </si>
  <si>
    <t xml:space="preserve">Contribution today</t>
  </si>
  <si>
    <t xml:space="preserve">Next price</t>
  </si>
  <si>
    <t xml:space="preserve">Rank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</si>
</sst>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#,##0"/>
    <numFmt numFmtId="167" formatCode="\$#,##0.00"/>
    <numFmt numFmtId="168" formatCode="0.0000"/>
    <numFmt numFmtId="169" formatCode="0.000000"/>
    <numFmt numFmtId="170" formatCode="0.0%"/>
    <numFmt numFmtId="171" formatCode="0.00"/>
    <numFmt numFmtId="172" formatCode="0%"/>
    <numFmt numFmtId="173" formatCode="&quot;+$&quot;#,##0;&quot;−$&quot;#,##0;&quot;$0&quot;"/>
    <numFmt numFmtId="174" formatCode="\+0.0%;\−0.0%;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4F7"/>
        <bgColor rgb="FFFFF2CC"/>
      </patternFill>
    </fill>
    <fill>
      <patternFill patternType="solid">
        <fgColor rgb="FFFFF2CC"/>
        <bgColor rgb="FFF2F4F7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4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7"/>
    <col collapsed="false" customWidth="true" hidden="false" outlineLevel="0" max="7" min="7" style="0" width="9"/>
    <col collapsed="false" customWidth="true" hidden="false" outlineLevel="0" max="8" min="8" style="0" width="13"/>
    <col collapsed="false" customWidth="true" hidden="false" outlineLevel="0" max="12" min="9" style="0" width="9"/>
    <col collapsed="false" customWidth="true" hidden="false" outlineLevel="0" max="13" min="13" style="0" width="10"/>
    <col collapsed="false" customWidth="true" hidden="false" outlineLevel="0" max="14" min="14" style="0" width="14"/>
    <col collapsed="false" customWidth="true" hidden="false" outlineLevel="0" max="15" min="15" style="0" width="3"/>
    <col collapsed="false" customWidth="true" hidden="false" outlineLevel="0" max="16" min="16" style="0" width="30"/>
    <col collapsed="false" customWidth="true" hidden="false" outlineLevel="0" max="17" min="17" style="0" width="22"/>
  </cols>
  <sheetData>
    <row r="1" customFormat="false" ht="19.7" hidden="false" customHeight="false" outlineLevel="0" collapsed="false">
      <c r="A1" s="1" t="s">
        <v>13</v>
      </c>
    </row>
    <row r="2" customFormat="false" ht="15" hidden="false" customHeight="false" outlineLevel="0" collapsed="false">
      <c r="A2" s="4" t="s">
        <v>14</v>
      </c>
    </row>
    <row r="4" customFormat="false" ht="15" hidden="false" customHeight="false" outlineLevel="0" collapsed="false">
      <c r="A4" s="3" t="s">
        <v>15</v>
      </c>
      <c r="B4" s="3" t="s">
        <v>16</v>
      </c>
      <c r="C4" s="3" t="s">
        <v>17</v>
      </c>
      <c r="D4" s="3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P4" s="3" t="s">
        <v>28</v>
      </c>
    </row>
    <row r="5" customFormat="false" ht="15" hidden="false" customHeight="false" outlineLevel="0" collapsed="false">
      <c r="A5" s="6" t="s">
        <v>29</v>
      </c>
      <c r="B5" s="7" t="n">
        <v>14</v>
      </c>
      <c r="C5" s="8" t="n">
        <v>237</v>
      </c>
      <c r="D5" s="9" t="n">
        <v>24.99</v>
      </c>
      <c r="F5" s="10" t="n">
        <f aca="false">IF(AND(ISNUMBER(C5),ISNUMBER(D5)),IF(AND(C5&gt;0,D5&gt;0),1,0),0)</f>
        <v>1</v>
      </c>
      <c r="G5" s="11" t="n">
        <f aca="false">IF(F5=1,LN(D5),0)</f>
        <v>3.21847574484686</v>
      </c>
      <c r="H5" s="11" t="n">
        <f aca="false">IF(F5=1,LN(C5/IF(ISNUMBER(B5),IF(B5&gt;0,B5,1),1)),0)</f>
        <v>2.82900281151987</v>
      </c>
      <c r="I5" s="11" t="n">
        <f aca="false">IF(F5=1,G5-$Q$8,0)</f>
        <v>0.00553508543178571</v>
      </c>
      <c r="J5" s="11" t="n">
        <f aca="false">IF(F5=1,H5-$Q$9,0)</f>
        <v>0.00465121302717719</v>
      </c>
      <c r="K5" s="11" t="n">
        <f aca="false">IF(F5=1,J5-$Q$12*I5,0)</f>
        <v>0.0149440958473417</v>
      </c>
      <c r="L5" s="11" t="n">
        <f aca="false">IF(F5=1,1/$Q$5+I5^2/$Q$10,0)</f>
        <v>0.0839123696457231</v>
      </c>
      <c r="M5" s="12" t="n">
        <f aca="false">IF(F5=1,IFERROR(I5^2*K5^2/(1-L5)^2,0),0)</f>
        <v>8.1529336402615E-009</v>
      </c>
      <c r="N5" s="11" t="n">
        <f aca="false">IF(F5=1,(D5-$Q$6)^2,0)</f>
        <v>0.00694444444444425</v>
      </c>
      <c r="P5" s="2" t="s">
        <v>30</v>
      </c>
      <c r="Q5" s="13" t="n">
        <f aca="false">SUM(F5:F30)</f>
        <v>12</v>
      </c>
    </row>
    <row r="6" customFormat="false" ht="15" hidden="false" customHeight="false" outlineLevel="0" collapsed="false">
      <c r="A6" s="6" t="s">
        <v>31</v>
      </c>
      <c r="B6" s="7" t="n">
        <v>14</v>
      </c>
      <c r="C6" s="8" t="n">
        <v>252</v>
      </c>
      <c r="D6" s="9" t="n">
        <v>24.99</v>
      </c>
      <c r="F6" s="10" t="n">
        <f aca="false">IF(AND(ISNUMBER(C6),ISNUMBER(D6)),IF(AND(C6&gt;0,D6&gt;0),1,0),0)</f>
        <v>1</v>
      </c>
      <c r="G6" s="11" t="n">
        <f aca="false">IF(F6=1,LN(D6),0)</f>
        <v>3.21847574484686</v>
      </c>
      <c r="H6" s="11" t="n">
        <f aca="false">IF(F6=1,LN(C6/IF(ISNUMBER(B6),IF(B6&gt;0,B6,1),1)),0)</f>
        <v>2.89037175789616</v>
      </c>
      <c r="I6" s="11" t="n">
        <f aca="false">IF(F6=1,G6-$Q$8,0)</f>
        <v>0.00553508543178571</v>
      </c>
      <c r="J6" s="11" t="n">
        <f aca="false">IF(F6=1,H6-$Q$9,0)</f>
        <v>0.0660201594034691</v>
      </c>
      <c r="K6" s="11" t="n">
        <f aca="false">IF(F6=1,J6-$Q$12*I6,0)</f>
        <v>0.0763130422236336</v>
      </c>
      <c r="L6" s="11" t="n">
        <f aca="false">IF(F6=1,1/$Q$5+I6^2/$Q$10,0)</f>
        <v>0.0839123696457231</v>
      </c>
      <c r="M6" s="12" t="n">
        <f aca="false">IF(F6=1,IFERROR(I6^2*K6^2/(1-L6)^2,0),0)</f>
        <v>2.12604353300074E-007</v>
      </c>
      <c r="N6" s="11" t="n">
        <f aca="false">IF(F6=1,(D6-$Q$6)^2,0)</f>
        <v>0.00694444444444425</v>
      </c>
      <c r="P6" s="2" t="s">
        <v>32</v>
      </c>
      <c r="Q6" s="14" t="n">
        <f aca="false">IFERROR(SUMPRODUCT(F5:F30,D5:D30)/Q5,"")</f>
        <v>24.9066666666667</v>
      </c>
    </row>
    <row r="7" customFormat="false" ht="15" hidden="false" customHeight="false" outlineLevel="0" collapsed="false">
      <c r="A7" s="6" t="s">
        <v>33</v>
      </c>
      <c r="B7" s="7" t="n">
        <v>15</v>
      </c>
      <c r="C7" s="8" t="n">
        <v>313</v>
      </c>
      <c r="D7" s="9" t="n">
        <v>22.99</v>
      </c>
      <c r="F7" s="10" t="n">
        <f aca="false">IF(AND(ISNUMBER(C7),ISNUMBER(D7)),IF(AND(C7&gt;0,D7&gt;0),1,0),0)</f>
        <v>1</v>
      </c>
      <c r="G7" s="11" t="n">
        <f aca="false">IF(F7=1,LN(D7),0)</f>
        <v>3.13505933877509</v>
      </c>
      <c r="H7" s="11" t="n">
        <f aca="false">IF(F7=1,LN(C7/IF(ISNUMBER(B7),IF(B7&gt;0,B7,1),1)),0)</f>
        <v>3.03815298943794</v>
      </c>
      <c r="I7" s="11" t="n">
        <f aca="false">IF(F7=1,G7-$Q$8,0)</f>
        <v>-0.0778813206399849</v>
      </c>
      <c r="J7" s="11" t="n">
        <f aca="false">IF(F7=1,H7-$Q$9,0)</f>
        <v>0.213801390945248</v>
      </c>
      <c r="K7" s="11" t="n">
        <f aca="false">IF(F7=1,J7-$Q$12*I7,0)</f>
        <v>0.0689755671876539</v>
      </c>
      <c r="L7" s="11" t="n">
        <f aca="false">IF(F7=1,1/$Q$5+I7^2/$Q$10,0)</f>
        <v>0.197970054965163</v>
      </c>
      <c r="M7" s="12" t="n">
        <f aca="false">IF(F7=1,IFERROR(I7^2*K7^2/(1-L7)^2,0),0)</f>
        <v>4.48617290477186E-005</v>
      </c>
      <c r="N7" s="11" t="n">
        <f aca="false">IF(F7=1,(D7-$Q$6)^2,0)</f>
        <v>3.67361111111112</v>
      </c>
      <c r="P7" s="2" t="s">
        <v>34</v>
      </c>
      <c r="Q7" s="15" t="n">
        <f aca="false">IFERROR(SQRT(SUM(N5:N30)/Q5)/Q6,"")</f>
        <v>0.0659899723076687</v>
      </c>
    </row>
    <row r="8" customFormat="false" ht="15" hidden="false" customHeight="false" outlineLevel="0" collapsed="false">
      <c r="A8" s="6" t="s">
        <v>35</v>
      </c>
      <c r="B8" s="7" t="n">
        <v>16</v>
      </c>
      <c r="C8" s="8" t="n">
        <v>299</v>
      </c>
      <c r="D8" s="9" t="n">
        <v>22.99</v>
      </c>
      <c r="F8" s="10" t="n">
        <f aca="false">IF(AND(ISNUMBER(C8),ISNUMBER(D8)),IF(AND(C8&gt;0,D8&gt;0),1,0),0)</f>
        <v>1</v>
      </c>
      <c r="G8" s="11" t="n">
        <f aca="false">IF(F8=1,LN(D8),0)</f>
        <v>3.13505933877509</v>
      </c>
      <c r="H8" s="11" t="n">
        <f aca="false">IF(F8=1,LN(C8/IF(ISNUMBER(B8),IF(B8&gt;0,B8,1),1)),0)</f>
        <v>2.92785485115091</v>
      </c>
      <c r="I8" s="11" t="n">
        <f aca="false">IF(F8=1,G8-$Q$8,0)</f>
        <v>-0.0778813206399849</v>
      </c>
      <c r="J8" s="11" t="n">
        <f aca="false">IF(F8=1,H8-$Q$9,0)</f>
        <v>0.10350325265821</v>
      </c>
      <c r="K8" s="11" t="n">
        <f aca="false">IF(F8=1,J8-$Q$12*I8,0)</f>
        <v>-0.0413225710993841</v>
      </c>
      <c r="L8" s="11" t="n">
        <f aca="false">IF(F8=1,1/$Q$5+I8^2/$Q$10,0)</f>
        <v>0.197970054965163</v>
      </c>
      <c r="M8" s="12" t="n">
        <f aca="false">IF(F8=1,IFERROR(I8^2*K8^2/(1-L8)^2,0),0)</f>
        <v>1.61012694713617E-005</v>
      </c>
      <c r="N8" s="11" t="n">
        <f aca="false">IF(F8=1,(D8-$Q$6)^2,0)</f>
        <v>3.67361111111112</v>
      </c>
      <c r="P8" s="2" t="s">
        <v>36</v>
      </c>
      <c r="Q8" s="16" t="n">
        <f aca="false">IFERROR(SUM(G5:G30)/Q5,0)</f>
        <v>3.21294065941508</v>
      </c>
    </row>
    <row r="9" customFormat="false" ht="15" hidden="false" customHeight="false" outlineLevel="0" collapsed="false">
      <c r="A9" s="6" t="s">
        <v>37</v>
      </c>
      <c r="B9" s="7" t="n">
        <v>15</v>
      </c>
      <c r="C9" s="8" t="n">
        <v>211</v>
      </c>
      <c r="D9" s="9" t="n">
        <v>26.99</v>
      </c>
      <c r="F9" s="10" t="n">
        <f aca="false">IF(AND(ISNUMBER(C9),ISNUMBER(D9)),IF(AND(C9&gt;0,D9&gt;0),1,0),0)</f>
        <v>1</v>
      </c>
      <c r="G9" s="11" t="n">
        <f aca="false">IF(F9=1,LN(D9),0)</f>
        <v>3.29546642702991</v>
      </c>
      <c r="H9" s="11" t="n">
        <f aca="false">IF(F9=1,LN(C9/IF(ISNUMBER(B9),IF(B9&gt;0,B9,1),1)),0)</f>
        <v>2.64380793237386</v>
      </c>
      <c r="I9" s="11" t="n">
        <f aca="false">IF(F9=1,G9-$Q$8,0)</f>
        <v>0.0825257676148383</v>
      </c>
      <c r="J9" s="11" t="n">
        <f aca="false">IF(F9=1,H9-$Q$9,0)</f>
        <v>-0.180543666118839</v>
      </c>
      <c r="K9" s="11" t="n">
        <f aca="false">IF(F9=1,J9-$Q$12*I9,0)</f>
        <v>-0.0270811647406772</v>
      </c>
      <c r="L9" s="11" t="n">
        <f aca="false">IF(F9=1,1/$Q$5+I9^2/$Q$10,0)</f>
        <v>0.21205044572494</v>
      </c>
      <c r="M9" s="12" t="n">
        <f aca="false">IF(F9=1,IFERROR(I9^2*K9^2/(1-L9)^2,0),0)</f>
        <v>8.04483229420764E-006</v>
      </c>
      <c r="N9" s="11" t="n">
        <f aca="false">IF(F9=1,(D9-$Q$6)^2,0)</f>
        <v>4.34027777777777</v>
      </c>
      <c r="P9" s="2" t="s">
        <v>38</v>
      </c>
      <c r="Q9" s="16" t="n">
        <f aca="false">IFERROR(SUM(H5:H30)/Q5,0)</f>
        <v>2.8243515984927</v>
      </c>
    </row>
    <row r="10" customFormat="false" ht="15" hidden="false" customHeight="false" outlineLevel="0" collapsed="false">
      <c r="A10" s="6" t="s">
        <v>39</v>
      </c>
      <c r="B10" s="7" t="n">
        <v>15</v>
      </c>
      <c r="C10" s="8" t="n">
        <v>213</v>
      </c>
      <c r="D10" s="9" t="n">
        <v>26.99</v>
      </c>
      <c r="F10" s="10" t="n">
        <f aca="false">IF(AND(ISNUMBER(C10),ISNUMBER(D10)),IF(AND(C10&gt;0,D10&gt;0),1,0),0)</f>
        <v>1</v>
      </c>
      <c r="G10" s="11" t="n">
        <f aca="false">IF(F10=1,LN(D10),0)</f>
        <v>3.29546642702991</v>
      </c>
      <c r="H10" s="11" t="n">
        <f aca="false">IF(F10=1,LN(C10/IF(ISNUMBER(B10),IF(B10&gt;0,B10,1),1)),0)</f>
        <v>2.65324196460722</v>
      </c>
      <c r="I10" s="11" t="n">
        <f aca="false">IF(F10=1,G10-$Q$8,0)</f>
        <v>0.0825257676148383</v>
      </c>
      <c r="J10" s="11" t="n">
        <f aca="false">IF(F10=1,H10-$Q$9,0)</f>
        <v>-0.171109633885481</v>
      </c>
      <c r="K10" s="11" t="n">
        <f aca="false">IF(F10=1,J10-$Q$12*I10,0)</f>
        <v>-0.0176471325073188</v>
      </c>
      <c r="L10" s="11" t="n">
        <f aca="false">IF(F10=1,1/$Q$5+I10^2/$Q$10,0)</f>
        <v>0.21205044572494</v>
      </c>
      <c r="M10" s="12" t="n">
        <f aca="false">IF(F10=1,IFERROR(I10^2*K10^2/(1-L10)^2,0),0)</f>
        <v>3.41610027440239E-006</v>
      </c>
      <c r="N10" s="11" t="n">
        <f aca="false">IF(F10=1,(D10-$Q$6)^2,0)</f>
        <v>4.34027777777777</v>
      </c>
      <c r="P10" s="2" t="s">
        <v>40</v>
      </c>
      <c r="Q10" s="17" t="n">
        <f aca="false">SUMPRODUCT(I5:I30,I5:I30)</f>
        <v>0.0529106207704394</v>
      </c>
    </row>
    <row r="11" customFormat="false" ht="15" hidden="false" customHeight="false" outlineLevel="0" collapsed="false">
      <c r="A11" s="6" t="s">
        <v>41</v>
      </c>
      <c r="B11" s="7" t="n">
        <v>15</v>
      </c>
      <c r="C11" s="8" t="n">
        <v>256</v>
      </c>
      <c r="D11" s="9" t="n">
        <v>23.99</v>
      </c>
      <c r="F11" s="10" t="n">
        <f aca="false">IF(AND(ISNUMBER(C11),ISNUMBER(D11)),IF(AND(C11&gt;0,D11&gt;0),1,0),0)</f>
        <v>1</v>
      </c>
      <c r="G11" s="11" t="n">
        <f aca="false">IF(F11=1,LN(D11),0)</f>
        <v>3.1776370768516</v>
      </c>
      <c r="H11" s="11" t="n">
        <f aca="false">IF(F11=1,LN(C11/IF(ISNUMBER(B11),IF(B11&gt;0,B11,1),1)),0)</f>
        <v>2.83712724337735</v>
      </c>
      <c r="I11" s="11" t="n">
        <f aca="false">IF(F11=1,G11-$Q$8,0)</f>
        <v>-0.035303582563472</v>
      </c>
      <c r="J11" s="11" t="n">
        <f aca="false">IF(F11=1,H11-$Q$9,0)</f>
        <v>0.0127756448846568</v>
      </c>
      <c r="K11" s="11" t="n">
        <f aca="false">IF(F11=1,J11-$Q$12*I11,0)</f>
        <v>-0.0528738636795839</v>
      </c>
      <c r="L11" s="11" t="n">
        <f aca="false">IF(F11=1,1/$Q$5+I11^2/$Q$10,0)</f>
        <v>0.106888962121424</v>
      </c>
      <c r="M11" s="12" t="n">
        <f aca="false">IF(F11=1,IFERROR(I11^2*K11^2/(1-L11)^2,0),0)</f>
        <v>4.36826260667879E-006</v>
      </c>
      <c r="N11" s="11" t="n">
        <f aca="false">IF(F11=1,(D11-$Q$6)^2,0)</f>
        <v>0.84027777777778</v>
      </c>
      <c r="P11" s="2" t="s">
        <v>42</v>
      </c>
      <c r="Q11" s="17" t="n">
        <f aca="false">SUMPRODUCT(I5:I30,J5:J30)</f>
        <v>-0.0983910413387416</v>
      </c>
    </row>
    <row r="12" customFormat="false" ht="15" hidden="false" customHeight="false" outlineLevel="0" collapsed="false">
      <c r="A12" s="6" t="s">
        <v>43</v>
      </c>
      <c r="B12" s="7" t="n">
        <v>16</v>
      </c>
      <c r="C12" s="8" t="n">
        <v>216</v>
      </c>
      <c r="D12" s="9" t="n">
        <v>27.49</v>
      </c>
      <c r="F12" s="10" t="n">
        <f aca="false">IF(AND(ISNUMBER(C12),ISNUMBER(D12)),IF(AND(C12&gt;0,D12&gt;0),1,0),0)</f>
        <v>1</v>
      </c>
      <c r="G12" s="11" t="n">
        <f aca="false">IF(F12=1,LN(D12),0)</f>
        <v>3.31382230217715</v>
      </c>
      <c r="H12" s="11" t="n">
        <f aca="false">IF(F12=1,LN(C12/IF(ISNUMBER(B12),IF(B12&gt;0,B12,1),1)),0)</f>
        <v>2.60268968544438</v>
      </c>
      <c r="I12" s="11" t="n">
        <f aca="false">IF(F12=1,G12-$Q$8,0)</f>
        <v>0.100881642762079</v>
      </c>
      <c r="J12" s="11" t="n">
        <f aca="false">IF(F12=1,H12-$Q$9,0)</f>
        <v>-0.221661913048312</v>
      </c>
      <c r="K12" s="11" t="n">
        <f aca="false">IF(F12=1,J12-$Q$12*I12,0)</f>
        <v>-0.0340653636449567</v>
      </c>
      <c r="L12" s="11" t="n">
        <f aca="false">IF(F12=1,1/$Q$5+I12^2/$Q$10,0)</f>
        <v>0.275678569472798</v>
      </c>
      <c r="M12" s="12" t="n">
        <f aca="false">IF(F12=1,IFERROR(I12^2*K12^2/(1-L12)^2,0),0)</f>
        <v>2.2510631590158E-005</v>
      </c>
      <c r="N12" s="11" t="n">
        <f aca="false">IF(F12=1,(D12-$Q$6)^2,0)</f>
        <v>6.67361111111111</v>
      </c>
      <c r="P12" s="18" t="s">
        <v>44</v>
      </c>
      <c r="Q12" s="19" t="n">
        <f aca="false">IFERROR(Q11/Q10,"")</f>
        <v>-1.85957072334543</v>
      </c>
    </row>
    <row r="13" customFormat="false" ht="15" hidden="false" customHeight="false" outlineLevel="0" collapsed="false">
      <c r="A13" s="6" t="s">
        <v>45</v>
      </c>
      <c r="B13" s="7" t="n">
        <v>15</v>
      </c>
      <c r="C13" s="8" t="n">
        <v>300</v>
      </c>
      <c r="D13" s="9" t="n">
        <v>21.99</v>
      </c>
      <c r="F13" s="10" t="n">
        <f aca="false">IF(AND(ISNUMBER(C13),ISNUMBER(D13)),IF(AND(C13&gt;0,D13&gt;0),1,0),0)</f>
        <v>1</v>
      </c>
      <c r="G13" s="11" t="n">
        <f aca="false">IF(F13=1,LN(D13),0)</f>
        <v>3.09058780456667</v>
      </c>
      <c r="H13" s="11" t="n">
        <f aca="false">IF(F13=1,LN(C13/IF(ISNUMBER(B13),IF(B13&gt;0,B13,1),1)),0)</f>
        <v>2.99573227355399</v>
      </c>
      <c r="I13" s="11" t="n">
        <f aca="false">IF(F13=1,G13-$Q$8,0)</f>
        <v>-0.122352854848405</v>
      </c>
      <c r="J13" s="11" t="n">
        <f aca="false">IF(F13=1,H13-$Q$9,0)</f>
        <v>0.171380675061295</v>
      </c>
      <c r="K13" s="11" t="n">
        <f aca="false">IF(F13=1,J13-$Q$12*I13,0)</f>
        <v>-0.0561431117325317</v>
      </c>
      <c r="L13" s="11" t="n">
        <f aca="false">IF(F13=1,1/$Q$5+I13^2/$Q$10,0)</f>
        <v>0.366267475317897</v>
      </c>
      <c r="M13" s="12" t="n">
        <f aca="false">IF(F13=1,IFERROR(I13^2*K13^2/(1-L13)^2,0),0)</f>
        <v>0.000117492239076188</v>
      </c>
      <c r="N13" s="11" t="n">
        <f aca="false">IF(F13=1,(D13-$Q$6)^2,0)</f>
        <v>8.50694444444445</v>
      </c>
      <c r="P13" s="2" t="s">
        <v>46</v>
      </c>
      <c r="Q13" s="16" t="n">
        <f aca="false">IFERROR(Q9-Q12*Q8,"")</f>
        <v>8.79904198458713</v>
      </c>
    </row>
    <row r="14" customFormat="false" ht="15" hidden="false" customHeight="false" outlineLevel="0" collapsed="false">
      <c r="A14" s="6" t="s">
        <v>47</v>
      </c>
      <c r="B14" s="7" t="n">
        <v>15</v>
      </c>
      <c r="C14" s="8" t="n">
        <v>237</v>
      </c>
      <c r="D14" s="9" t="n">
        <v>25.49</v>
      </c>
      <c r="F14" s="10" t="n">
        <f aca="false">IF(AND(ISNUMBER(C14),ISNUMBER(D14)),IF(AND(C14&gt;0,D14&gt;0),1,0),0)</f>
        <v>1</v>
      </c>
      <c r="G14" s="11" t="n">
        <f aca="false">IF(F14=1,LN(D14),0)</f>
        <v>3.23828621838802</v>
      </c>
      <c r="H14" s="11" t="n">
        <f aca="false">IF(F14=1,LN(C14/IF(ISNUMBER(B14),IF(B14&gt;0,B14,1),1)),0)</f>
        <v>2.76000994003292</v>
      </c>
      <c r="I14" s="11" t="n">
        <f aca="false">IF(F14=1,G14-$Q$8,0)</f>
        <v>0.025345558972949</v>
      </c>
      <c r="J14" s="11" t="n">
        <f aca="false">IF(F14=1,H14-$Q$9,0)</f>
        <v>-0.0643416584597745</v>
      </c>
      <c r="K14" s="11" t="n">
        <f aca="false">IF(F14=1,J14-$Q$12*I14,0)</f>
        <v>-0.0172097990268535</v>
      </c>
      <c r="L14" s="11" t="n">
        <f aca="false">IF(F14=1,1/$Q$5+I14^2/$Q$10,0)</f>
        <v>0.0954745131247853</v>
      </c>
      <c r="M14" s="12" t="n">
        <f aca="false">IF(F14=1,IFERROR(I14^2*K14^2/(1-L14)^2,0),0)</f>
        <v>2.32548599151928E-007</v>
      </c>
      <c r="N14" s="11" t="n">
        <f aca="false">IF(F14=1,(D14-$Q$6)^2,0)</f>
        <v>0.340277777777776</v>
      </c>
      <c r="P14" s="2" t="s">
        <v>48</v>
      </c>
      <c r="Q14" s="13" t="n">
        <f aca="false">Q5-2</f>
        <v>10</v>
      </c>
    </row>
    <row r="15" customFormat="false" ht="15" hidden="false" customHeight="false" outlineLevel="0" collapsed="false">
      <c r="A15" s="6" t="s">
        <v>49</v>
      </c>
      <c r="B15" s="7" t="n">
        <v>15</v>
      </c>
      <c r="C15" s="8" t="n">
        <v>258</v>
      </c>
      <c r="D15" s="9" t="n">
        <v>24.99</v>
      </c>
      <c r="F15" s="10" t="n">
        <f aca="false">IF(AND(ISNUMBER(C15),ISNUMBER(D15)),IF(AND(C15&gt;0,D15&gt;0),1,0),0)</f>
        <v>1</v>
      </c>
      <c r="G15" s="11" t="n">
        <f aca="false">IF(F15=1,LN(D15),0)</f>
        <v>3.21847574484686</v>
      </c>
      <c r="H15" s="11" t="n">
        <f aca="false">IF(F15=1,LN(C15/IF(ISNUMBER(B15),IF(B15&gt;0,B15,1),1)),0)</f>
        <v>2.84490938381941</v>
      </c>
      <c r="I15" s="11" t="n">
        <f aca="false">IF(F15=1,G15-$Q$8,0)</f>
        <v>0.00553508543178571</v>
      </c>
      <c r="J15" s="11" t="n">
        <f aca="false">IF(F15=1,H15-$Q$9,0)</f>
        <v>0.0205577853267118</v>
      </c>
      <c r="K15" s="11" t="n">
        <f aca="false">IF(F15=1,J15-$Q$12*I15,0)</f>
        <v>0.0308506681468763</v>
      </c>
      <c r="L15" s="11" t="n">
        <f aca="false">IF(F15=1,1/$Q$5+I15^2/$Q$10,0)</f>
        <v>0.0839123696457231</v>
      </c>
      <c r="M15" s="12" t="n">
        <f aca="false">IF(F15=1,IFERROR(I15^2*K15^2/(1-L15)^2,0),0)</f>
        <v>3.47459161400239E-008</v>
      </c>
      <c r="N15" s="11" t="n">
        <f aca="false">IF(F15=1,(D15-$Q$6)^2,0)</f>
        <v>0.00694444444444425</v>
      </c>
      <c r="P15" s="2" t="s">
        <v>50</v>
      </c>
      <c r="Q15" s="17" t="n">
        <f aca="false">SUMSQ(K5:K30)</f>
        <v>0.0249667123401669</v>
      </c>
    </row>
    <row r="16" customFormat="false" ht="15" hidden="false" customHeight="false" outlineLevel="0" collapsed="false">
      <c r="A16" s="6" t="s">
        <v>51</v>
      </c>
      <c r="B16" s="7" t="n">
        <v>16</v>
      </c>
      <c r="C16" s="8" t="n">
        <v>282</v>
      </c>
      <c r="D16" s="9" t="n">
        <v>24.99</v>
      </c>
      <c r="F16" s="10" t="n">
        <f aca="false">IF(AND(ISNUMBER(C16),ISNUMBER(D16)),IF(AND(C16&gt;0,D16&gt;0),1,0),0)</f>
        <v>1</v>
      </c>
      <c r="G16" s="11" t="n">
        <f aca="false">IF(F16=1,LN(D16),0)</f>
        <v>3.21847574484686</v>
      </c>
      <c r="H16" s="11" t="n">
        <f aca="false">IF(F16=1,LN(C16/IF(ISNUMBER(B16),IF(B16&gt;0,B16,1),1)),0)</f>
        <v>2.86931834869833</v>
      </c>
      <c r="I16" s="11" t="n">
        <f aca="false">IF(F16=1,G16-$Q$8,0)</f>
        <v>0.00553508543178571</v>
      </c>
      <c r="J16" s="11" t="n">
        <f aca="false">IF(F16=1,H16-$Q$9,0)</f>
        <v>0.0449667502056368</v>
      </c>
      <c r="K16" s="11" t="n">
        <f aca="false">IF(F16=1,J16-$Q$12*I16,0)</f>
        <v>0.0552596330258013</v>
      </c>
      <c r="L16" s="11" t="n">
        <f aca="false">IF(F16=1,1/$Q$5+I16^2/$Q$10,0)</f>
        <v>0.0839123696457231</v>
      </c>
      <c r="M16" s="12" t="n">
        <f aca="false">IF(F16=1,IFERROR(I16^2*K16^2/(1-L16)^2,0),0)</f>
        <v>1.11478370450823E-007</v>
      </c>
      <c r="N16" s="11" t="n">
        <f aca="false">IF(F16=1,(D16-$Q$6)^2,0)</f>
        <v>0.00694444444444425</v>
      </c>
      <c r="P16" s="2" t="s">
        <v>52</v>
      </c>
      <c r="Q16" s="20" t="n">
        <f aca="false">IFERROR(1-Q15/SUMPRODUCT(J5:J30,J5:J30),"")</f>
        <v>0.879928366565817</v>
      </c>
    </row>
    <row r="17" customFormat="false" ht="15" hidden="false" customHeight="false" outlineLevel="0" collapsed="false">
      <c r="A17" s="6"/>
      <c r="B17" s="7"/>
      <c r="C17" s="8"/>
      <c r="D17" s="9"/>
      <c r="F17" s="10" t="n">
        <f aca="false">IF(AND(ISNUMBER(C17),ISNUMBER(D17)),IF(AND(C17&gt;0,D17&gt;0),1,0),0)</f>
        <v>0</v>
      </c>
      <c r="G17" s="11" t="n">
        <f aca="false">IF(F17=1,LN(D17),0)</f>
        <v>0</v>
      </c>
      <c r="H17" s="11" t="n">
        <f aca="false">IF(F17=1,LN(C17/IF(ISNUMBER(B17),IF(B17&gt;0,B17,1),1)),0)</f>
        <v>0</v>
      </c>
      <c r="I17" s="11" t="n">
        <f aca="false">IF(F17=1,G17-$Q$8,0)</f>
        <v>0</v>
      </c>
      <c r="J17" s="11" t="n">
        <f aca="false">IF(F17=1,H17-$Q$9,0)</f>
        <v>0</v>
      </c>
      <c r="K17" s="11" t="n">
        <f aca="false">IF(F17=1,J17-$Q$12*I17,0)</f>
        <v>0</v>
      </c>
      <c r="L17" s="11" t="n">
        <f aca="false">IF(F17=1,1/$Q$5+I17^2/$Q$10,0)</f>
        <v>0</v>
      </c>
      <c r="M17" s="12" t="n">
        <f aca="false">IF(F17=1,IFERROR(I17^2*K17^2/(1-L17)^2,0),0)</f>
        <v>0</v>
      </c>
      <c r="N17" s="11" t="n">
        <f aca="false">IF(F17=1,(D17-$Q$6)^2,0)</f>
        <v>0</v>
      </c>
      <c r="P17" s="2" t="s">
        <v>53</v>
      </c>
      <c r="Q17" s="2" t="str">
        <f aca="false">IF(MAX(L5:L30)&gt;=1-0.000001,"yes: classical","no")</f>
        <v>no</v>
      </c>
    </row>
    <row r="18" customFormat="false" ht="15" hidden="false" customHeight="false" outlineLevel="0" collapsed="false">
      <c r="A18" s="6"/>
      <c r="B18" s="7"/>
      <c r="C18" s="8"/>
      <c r="D18" s="9"/>
      <c r="F18" s="10" t="n">
        <f aca="false">IF(AND(ISNUMBER(C18),ISNUMBER(D18)),IF(AND(C18&gt;0,D18&gt;0),1,0),0)</f>
        <v>0</v>
      </c>
      <c r="G18" s="11" t="n">
        <f aca="false">IF(F18=1,LN(D18),0)</f>
        <v>0</v>
      </c>
      <c r="H18" s="11" t="n">
        <f aca="false">IF(F18=1,LN(C18/IF(ISNUMBER(B18),IF(B18&gt;0,B18,1),1)),0)</f>
        <v>0</v>
      </c>
      <c r="I18" s="11" t="n">
        <f aca="false">IF(F18=1,G18-$Q$8,0)</f>
        <v>0</v>
      </c>
      <c r="J18" s="11" t="n">
        <f aca="false">IF(F18=1,H18-$Q$9,0)</f>
        <v>0</v>
      </c>
      <c r="K18" s="11" t="n">
        <f aca="false">IF(F18=1,J18-$Q$12*I18,0)</f>
        <v>0</v>
      </c>
      <c r="L18" s="11" t="n">
        <f aca="false">IF(F18=1,1/$Q$5+I18^2/$Q$10,0)</f>
        <v>0</v>
      </c>
      <c r="M18" s="12" t="n">
        <f aca="false">IF(F18=1,IFERROR(I18^2*K18^2/(1-L18)^2,0),0)</f>
        <v>0</v>
      </c>
      <c r="N18" s="11" t="n">
        <f aca="false">IF(F18=1,(D18-$Q$6)^2,0)</f>
        <v>0</v>
      </c>
      <c r="P18" s="18" t="s">
        <v>54</v>
      </c>
      <c r="Q18" s="19" t="n">
        <f aca="false">IFERROR(IF(Q17="no",SQRT(SUM(M5:M30)/Q10^2),SQRT(Q15/Q14/Q10)),"")</f>
        <v>0.2786644151211</v>
      </c>
    </row>
    <row r="19" customFormat="false" ht="15" hidden="false" customHeight="false" outlineLevel="0" collapsed="false">
      <c r="A19" s="6"/>
      <c r="B19" s="7"/>
      <c r="C19" s="8"/>
      <c r="D19" s="9"/>
      <c r="F19" s="10" t="n">
        <f aca="false">IF(AND(ISNUMBER(C19),ISNUMBER(D19)),IF(AND(C19&gt;0,D19&gt;0),1,0),0)</f>
        <v>0</v>
      </c>
      <c r="G19" s="11" t="n">
        <f aca="false">IF(F19=1,LN(D19),0)</f>
        <v>0</v>
      </c>
      <c r="H19" s="11" t="n">
        <f aca="false">IF(F19=1,LN(C19/IF(ISNUMBER(B19),IF(B19&gt;0,B19,1),1)),0)</f>
        <v>0</v>
      </c>
      <c r="I19" s="11" t="n">
        <f aca="false">IF(F19=1,G19-$Q$8,0)</f>
        <v>0</v>
      </c>
      <c r="J19" s="11" t="n">
        <f aca="false">IF(F19=1,H19-$Q$9,0)</f>
        <v>0</v>
      </c>
      <c r="K19" s="11" t="n">
        <f aca="false">IF(F19=1,J19-$Q$12*I19,0)</f>
        <v>0</v>
      </c>
      <c r="L19" s="11" t="n">
        <f aca="false">IF(F19=1,1/$Q$5+I19^2/$Q$10,0)</f>
        <v>0</v>
      </c>
      <c r="M19" s="12" t="n">
        <f aca="false">IF(F19=1,IFERROR(I19^2*K19^2/(1-L19)^2,0),0)</f>
        <v>0</v>
      </c>
      <c r="N19" s="11" t="n">
        <f aca="false">IF(F19=1,(D19-$Q$6)^2,0)</f>
        <v>0</v>
      </c>
      <c r="P19" s="2" t="s">
        <v>55</v>
      </c>
      <c r="Q19" s="20" t="n">
        <f aca="false">IFERROR(TINV(0.05,Q14),"")</f>
        <v>2.22813885198628</v>
      </c>
    </row>
    <row r="20" customFormat="false" ht="15" hidden="false" customHeight="false" outlineLevel="0" collapsed="false">
      <c r="A20" s="6"/>
      <c r="B20" s="7"/>
      <c r="C20" s="8"/>
      <c r="D20" s="9"/>
      <c r="F20" s="10" t="n">
        <f aca="false">IF(AND(ISNUMBER(C20),ISNUMBER(D20)),IF(AND(C20&gt;0,D20&gt;0),1,0),0)</f>
        <v>0</v>
      </c>
      <c r="G20" s="11" t="n">
        <f aca="false">IF(F20=1,LN(D20),0)</f>
        <v>0</v>
      </c>
      <c r="H20" s="11" t="n">
        <f aca="false">IF(F20=1,LN(C20/IF(ISNUMBER(B20),IF(B20&gt;0,B20,1),1)),0)</f>
        <v>0</v>
      </c>
      <c r="I20" s="11" t="n">
        <f aca="false">IF(F20=1,G20-$Q$8,0)</f>
        <v>0</v>
      </c>
      <c r="J20" s="11" t="n">
        <f aca="false">IF(F20=1,H20-$Q$9,0)</f>
        <v>0</v>
      </c>
      <c r="K20" s="11" t="n">
        <f aca="false">IF(F20=1,J20-$Q$12*I20,0)</f>
        <v>0</v>
      </c>
      <c r="L20" s="11" t="n">
        <f aca="false">IF(F20=1,1/$Q$5+I20^2/$Q$10,0)</f>
        <v>0</v>
      </c>
      <c r="M20" s="12" t="n">
        <f aca="false">IF(F20=1,IFERROR(I20^2*K20^2/(1-L20)^2,0),0)</f>
        <v>0</v>
      </c>
      <c r="N20" s="11" t="n">
        <f aca="false">IF(F20=1,(D20-$Q$6)^2,0)</f>
        <v>0</v>
      </c>
      <c r="P20" s="2" t="s">
        <v>56</v>
      </c>
      <c r="Q20" s="20" t="n">
        <f aca="false">IFERROR(Q12-Q19*Q18,"")</f>
        <v>-2.48047373334278</v>
      </c>
    </row>
    <row r="21" customFormat="false" ht="15" hidden="false" customHeight="false" outlineLevel="0" collapsed="false">
      <c r="A21" s="6"/>
      <c r="B21" s="7"/>
      <c r="C21" s="8"/>
      <c r="D21" s="9"/>
      <c r="F21" s="10" t="n">
        <f aca="false">IF(AND(ISNUMBER(C21),ISNUMBER(D21)),IF(AND(C21&gt;0,D21&gt;0),1,0),0)</f>
        <v>0</v>
      </c>
      <c r="G21" s="11" t="n">
        <f aca="false">IF(F21=1,LN(D21),0)</f>
        <v>0</v>
      </c>
      <c r="H21" s="11" t="n">
        <f aca="false">IF(F21=1,LN(C21/IF(ISNUMBER(B21),IF(B21&gt;0,B21,1),1)),0)</f>
        <v>0</v>
      </c>
      <c r="I21" s="11" t="n">
        <f aca="false">IF(F21=1,G21-$Q$8,0)</f>
        <v>0</v>
      </c>
      <c r="J21" s="11" t="n">
        <f aca="false">IF(F21=1,H21-$Q$9,0)</f>
        <v>0</v>
      </c>
      <c r="K21" s="11" t="n">
        <f aca="false">IF(F21=1,J21-$Q$12*I21,0)</f>
        <v>0</v>
      </c>
      <c r="L21" s="11" t="n">
        <f aca="false">IF(F21=1,1/$Q$5+I21^2/$Q$10,0)</f>
        <v>0</v>
      </c>
      <c r="M21" s="12" t="n">
        <f aca="false">IF(F21=1,IFERROR(I21^2*K21^2/(1-L21)^2,0),0)</f>
        <v>0</v>
      </c>
      <c r="N21" s="11" t="n">
        <f aca="false">IF(F21=1,(D21-$Q$6)^2,0)</f>
        <v>0</v>
      </c>
      <c r="P21" s="2" t="s">
        <v>57</v>
      </c>
      <c r="Q21" s="20" t="n">
        <f aca="false">IFERROR(Q12+Q19*Q18,"")</f>
        <v>-1.23866771334807</v>
      </c>
    </row>
    <row r="22" customFormat="false" ht="15" hidden="false" customHeight="false" outlineLevel="0" collapsed="false">
      <c r="A22" s="6"/>
      <c r="B22" s="7"/>
      <c r="C22" s="8"/>
      <c r="D22" s="9"/>
      <c r="F22" s="10" t="n">
        <f aca="false">IF(AND(ISNUMBER(C22),ISNUMBER(D22)),IF(AND(C22&gt;0,D22&gt;0),1,0),0)</f>
        <v>0</v>
      </c>
      <c r="G22" s="11" t="n">
        <f aca="false">IF(F22=1,LN(D22),0)</f>
        <v>0</v>
      </c>
      <c r="H22" s="11" t="n">
        <f aca="false">IF(F22=1,LN(C22/IF(ISNUMBER(B22),IF(B22&gt;0,B22,1),1)),0)</f>
        <v>0</v>
      </c>
      <c r="I22" s="11" t="n">
        <f aca="false">IF(F22=1,G22-$Q$8,0)</f>
        <v>0</v>
      </c>
      <c r="J22" s="11" t="n">
        <f aca="false">IF(F22=1,H22-$Q$9,0)</f>
        <v>0</v>
      </c>
      <c r="K22" s="11" t="n">
        <f aca="false">IF(F22=1,J22-$Q$12*I22,0)</f>
        <v>0</v>
      </c>
      <c r="L22" s="11" t="n">
        <f aca="false">IF(F22=1,1/$Q$5+I22^2/$Q$10,0)</f>
        <v>0</v>
      </c>
      <c r="M22" s="12" t="n">
        <f aca="false">IF(F22=1,IFERROR(I22^2*K22^2/(1-L22)^2,0),0)</f>
        <v>0</v>
      </c>
      <c r="N22" s="11" t="n">
        <f aca="false">IF(F22=1,(D22-$Q$6)^2,0)</f>
        <v>0</v>
      </c>
      <c r="P22" s="18" t="s">
        <v>58</v>
      </c>
      <c r="Q22" s="18" t="str">
        <f aca="false">IF(Q5&lt;5,"Too few periods: 5 is the least",IF(Q7&lt;0.02,"The price has not moved enough to read: 2% is the least","Read"))</f>
        <v>Read</v>
      </c>
    </row>
    <row r="23" customFormat="false" ht="15" hidden="false" customHeight="false" outlineLevel="0" collapsed="false">
      <c r="A23" s="6"/>
      <c r="B23" s="7"/>
      <c r="C23" s="8"/>
      <c r="D23" s="9"/>
      <c r="F23" s="10" t="n">
        <f aca="false">IF(AND(ISNUMBER(C23),ISNUMBER(D23)),IF(AND(C23&gt;0,D23&gt;0),1,0),0)</f>
        <v>0</v>
      </c>
      <c r="G23" s="11" t="n">
        <f aca="false">IF(F23=1,LN(D23),0)</f>
        <v>0</v>
      </c>
      <c r="H23" s="11" t="n">
        <f aca="false">IF(F23=1,LN(C23/IF(ISNUMBER(B23),IF(B23&gt;0,B23,1),1)),0)</f>
        <v>0</v>
      </c>
      <c r="I23" s="11" t="n">
        <f aca="false">IF(F23=1,G23-$Q$8,0)</f>
        <v>0</v>
      </c>
      <c r="J23" s="11" t="n">
        <f aca="false">IF(F23=1,H23-$Q$9,0)</f>
        <v>0</v>
      </c>
      <c r="K23" s="11" t="n">
        <f aca="false">IF(F23=1,J23-$Q$12*I23,0)</f>
        <v>0</v>
      </c>
      <c r="L23" s="11" t="n">
        <f aca="false">IF(F23=1,1/$Q$5+I23^2/$Q$10,0)</f>
        <v>0</v>
      </c>
      <c r="M23" s="12" t="n">
        <f aca="false">IF(F23=1,IFERROR(I23^2*K23^2/(1-L23)^2,0),0)</f>
        <v>0</v>
      </c>
      <c r="N23" s="11" t="n">
        <f aca="false">IF(F23=1,(D23-$Q$6)^2,0)</f>
        <v>0</v>
      </c>
      <c r="P23" s="18" t="s">
        <v>59</v>
      </c>
      <c r="Q23" s="18" t="str">
        <f aca="false">IF(Q22&lt;&gt;"Read","",IF(OR(AND(Q20&lt;=-1,Q21&gt;=-1),ABS(1+Q12)&lt;2*Q18,AND(Q12&lt;-1,Q18/ABS(Q12*(1+Q12))&gt;0.5)),"Too close to −1 to name a price","Clear of −1"))</f>
        <v>Clear of −1</v>
      </c>
    </row>
    <row r="24" customFormat="false" ht="15" hidden="false" customHeight="false" outlineLevel="0" collapsed="false">
      <c r="A24" s="6"/>
      <c r="B24" s="7"/>
      <c r="C24" s="8"/>
      <c r="D24" s="9"/>
      <c r="F24" s="10" t="n">
        <f aca="false">IF(AND(ISNUMBER(C24),ISNUMBER(D24)),IF(AND(C24&gt;0,D24&gt;0),1,0),0)</f>
        <v>0</v>
      </c>
      <c r="G24" s="11" t="n">
        <f aca="false">IF(F24=1,LN(D24),0)</f>
        <v>0</v>
      </c>
      <c r="H24" s="11" t="n">
        <f aca="false">IF(F24=1,LN(C24/IF(ISNUMBER(B24),IF(B24&gt;0,B24,1),1)),0)</f>
        <v>0</v>
      </c>
      <c r="I24" s="11" t="n">
        <f aca="false">IF(F24=1,G24-$Q$8,0)</f>
        <v>0</v>
      </c>
      <c r="J24" s="11" t="n">
        <f aca="false">IF(F24=1,H24-$Q$9,0)</f>
        <v>0</v>
      </c>
      <c r="K24" s="11" t="n">
        <f aca="false">IF(F24=1,J24-$Q$12*I24,0)</f>
        <v>0</v>
      </c>
      <c r="L24" s="11" t="n">
        <f aca="false">IF(F24=1,1/$Q$5+I24^2/$Q$10,0)</f>
        <v>0</v>
      </c>
      <c r="M24" s="12" t="n">
        <f aca="false">IF(F24=1,IFERROR(I24^2*K24^2/(1-L24)^2,0),0)</f>
        <v>0</v>
      </c>
      <c r="N24" s="11" t="n">
        <f aca="false">IF(F24=1,(D24-$Q$6)^2,0)</f>
        <v>0</v>
      </c>
    </row>
    <row r="25" customFormat="false" ht="15" hidden="false" customHeight="false" outlineLevel="0" collapsed="false">
      <c r="A25" s="6"/>
      <c r="B25" s="7"/>
      <c r="C25" s="8"/>
      <c r="D25" s="9"/>
      <c r="F25" s="10" t="n">
        <f aca="false">IF(AND(ISNUMBER(C25),ISNUMBER(D25)),IF(AND(C25&gt;0,D25&gt;0),1,0),0)</f>
        <v>0</v>
      </c>
      <c r="G25" s="11" t="n">
        <f aca="false">IF(F25=1,LN(D25),0)</f>
        <v>0</v>
      </c>
      <c r="H25" s="11" t="n">
        <f aca="false">IF(F25=1,LN(C25/IF(ISNUMBER(B25),IF(B25&gt;0,B25,1),1)),0)</f>
        <v>0</v>
      </c>
      <c r="I25" s="11" t="n">
        <f aca="false">IF(F25=1,G25-$Q$8,0)</f>
        <v>0</v>
      </c>
      <c r="J25" s="11" t="n">
        <f aca="false">IF(F25=1,H25-$Q$9,0)</f>
        <v>0</v>
      </c>
      <c r="K25" s="11" t="n">
        <f aca="false">IF(F25=1,J25-$Q$12*I25,0)</f>
        <v>0</v>
      </c>
      <c r="L25" s="11" t="n">
        <f aca="false">IF(F25=1,1/$Q$5+I25^2/$Q$10,0)</f>
        <v>0</v>
      </c>
      <c r="M25" s="12" t="n">
        <f aca="false">IF(F25=1,IFERROR(I25^2*K25^2/(1-L25)^2,0),0)</f>
        <v>0</v>
      </c>
      <c r="N25" s="11" t="n">
        <f aca="false">IF(F25=1,(D25-$Q$6)^2,0)</f>
        <v>0</v>
      </c>
      <c r="P25" s="4" t="s">
        <v>60</v>
      </c>
    </row>
    <row r="26" customFormat="false" ht="15" hidden="false" customHeight="false" outlineLevel="0" collapsed="false">
      <c r="A26" s="6"/>
      <c r="B26" s="7"/>
      <c r="C26" s="8"/>
      <c r="D26" s="9"/>
      <c r="F26" s="10" t="n">
        <f aca="false">IF(AND(ISNUMBER(C26),ISNUMBER(D26)),IF(AND(C26&gt;0,D26&gt;0),1,0),0)</f>
        <v>0</v>
      </c>
      <c r="G26" s="11" t="n">
        <f aca="false">IF(F26=1,LN(D26),0)</f>
        <v>0</v>
      </c>
      <c r="H26" s="11" t="n">
        <f aca="false">IF(F26=1,LN(C26/IF(ISNUMBER(B26),IF(B26&gt;0,B26,1),1)),0)</f>
        <v>0</v>
      </c>
      <c r="I26" s="11" t="n">
        <f aca="false">IF(F26=1,G26-$Q$8,0)</f>
        <v>0</v>
      </c>
      <c r="J26" s="11" t="n">
        <f aca="false">IF(F26=1,H26-$Q$9,0)</f>
        <v>0</v>
      </c>
      <c r="K26" s="11" t="n">
        <f aca="false">IF(F26=1,J26-$Q$12*I26,0)</f>
        <v>0</v>
      </c>
      <c r="L26" s="11" t="n">
        <f aca="false">IF(F26=1,1/$Q$5+I26^2/$Q$10,0)</f>
        <v>0</v>
      </c>
      <c r="M26" s="12" t="n">
        <f aca="false">IF(F26=1,IFERROR(I26^2*K26^2/(1-L26)^2,0),0)</f>
        <v>0</v>
      </c>
      <c r="N26" s="11" t="n">
        <f aca="false">IF(F26=1,(D26-$Q$6)^2,0)</f>
        <v>0</v>
      </c>
      <c r="P26" s="4" t="s">
        <v>61</v>
      </c>
    </row>
    <row r="27" customFormat="false" ht="15" hidden="false" customHeight="false" outlineLevel="0" collapsed="false">
      <c r="A27" s="6"/>
      <c r="B27" s="7"/>
      <c r="C27" s="8"/>
      <c r="D27" s="9"/>
      <c r="F27" s="10" t="n">
        <f aca="false">IF(AND(ISNUMBER(C27),ISNUMBER(D27)),IF(AND(C27&gt;0,D27&gt;0),1,0),0)</f>
        <v>0</v>
      </c>
      <c r="G27" s="11" t="n">
        <f aca="false">IF(F27=1,LN(D27),0)</f>
        <v>0</v>
      </c>
      <c r="H27" s="11" t="n">
        <f aca="false">IF(F27=1,LN(C27/IF(ISNUMBER(B27),IF(B27&gt;0,B27,1),1)),0)</f>
        <v>0</v>
      </c>
      <c r="I27" s="11" t="n">
        <f aca="false">IF(F27=1,G27-$Q$8,0)</f>
        <v>0</v>
      </c>
      <c r="J27" s="11" t="n">
        <f aca="false">IF(F27=1,H27-$Q$9,0)</f>
        <v>0</v>
      </c>
      <c r="K27" s="11" t="n">
        <f aca="false">IF(F27=1,J27-$Q$12*I27,0)</f>
        <v>0</v>
      </c>
      <c r="L27" s="11" t="n">
        <f aca="false">IF(F27=1,1/$Q$5+I27^2/$Q$10,0)</f>
        <v>0</v>
      </c>
      <c r="M27" s="12" t="n">
        <f aca="false">IF(F27=1,IFERROR(I27^2*K27^2/(1-L27)^2,0),0)</f>
        <v>0</v>
      </c>
      <c r="N27" s="11" t="n">
        <f aca="false">IF(F27=1,(D27-$Q$6)^2,0)</f>
        <v>0</v>
      </c>
    </row>
    <row r="28" customFormat="false" ht="15" hidden="false" customHeight="false" outlineLevel="0" collapsed="false">
      <c r="A28" s="6"/>
      <c r="B28" s="7"/>
      <c r="C28" s="8"/>
      <c r="D28" s="9"/>
      <c r="F28" s="10" t="n">
        <f aca="false">IF(AND(ISNUMBER(C28),ISNUMBER(D28)),IF(AND(C28&gt;0,D28&gt;0),1,0),0)</f>
        <v>0</v>
      </c>
      <c r="G28" s="11" t="n">
        <f aca="false">IF(F28=1,LN(D28),0)</f>
        <v>0</v>
      </c>
      <c r="H28" s="11" t="n">
        <f aca="false">IF(F28=1,LN(C28/IF(ISNUMBER(B28),IF(B28&gt;0,B28,1),1)),0)</f>
        <v>0</v>
      </c>
      <c r="I28" s="11" t="n">
        <f aca="false">IF(F28=1,G28-$Q$8,0)</f>
        <v>0</v>
      </c>
      <c r="J28" s="11" t="n">
        <f aca="false">IF(F28=1,H28-$Q$9,0)</f>
        <v>0</v>
      </c>
      <c r="K28" s="11" t="n">
        <f aca="false">IF(F28=1,J28-$Q$12*I28,0)</f>
        <v>0</v>
      </c>
      <c r="L28" s="11" t="n">
        <f aca="false">IF(F28=1,1/$Q$5+I28^2/$Q$10,0)</f>
        <v>0</v>
      </c>
      <c r="M28" s="12" t="n">
        <f aca="false">IF(F28=1,IFERROR(I28^2*K28^2/(1-L28)^2,0),0)</f>
        <v>0</v>
      </c>
      <c r="N28" s="11" t="n">
        <f aca="false">IF(F28=1,(D28-$Q$6)^2,0)</f>
        <v>0</v>
      </c>
    </row>
    <row r="29" customFormat="false" ht="15" hidden="false" customHeight="false" outlineLevel="0" collapsed="false">
      <c r="A29" s="6"/>
      <c r="B29" s="7"/>
      <c r="C29" s="8"/>
      <c r="D29" s="9"/>
      <c r="F29" s="10" t="n">
        <f aca="false">IF(AND(ISNUMBER(C29),ISNUMBER(D29)),IF(AND(C29&gt;0,D29&gt;0),1,0),0)</f>
        <v>0</v>
      </c>
      <c r="G29" s="11" t="n">
        <f aca="false">IF(F29=1,LN(D29),0)</f>
        <v>0</v>
      </c>
      <c r="H29" s="11" t="n">
        <f aca="false">IF(F29=1,LN(C29/IF(ISNUMBER(B29),IF(B29&gt;0,B29,1),1)),0)</f>
        <v>0</v>
      </c>
      <c r="I29" s="11" t="n">
        <f aca="false">IF(F29=1,G29-$Q$8,0)</f>
        <v>0</v>
      </c>
      <c r="J29" s="11" t="n">
        <f aca="false">IF(F29=1,H29-$Q$9,0)</f>
        <v>0</v>
      </c>
      <c r="K29" s="11" t="n">
        <f aca="false">IF(F29=1,J29-$Q$12*I29,0)</f>
        <v>0</v>
      </c>
      <c r="L29" s="11" t="n">
        <f aca="false">IF(F29=1,1/$Q$5+I29^2/$Q$10,0)</f>
        <v>0</v>
      </c>
      <c r="M29" s="12" t="n">
        <f aca="false">IF(F29=1,IFERROR(I29^2*K29^2/(1-L29)^2,0),0)</f>
        <v>0</v>
      </c>
      <c r="N29" s="11" t="n">
        <f aca="false">IF(F29=1,(D29-$Q$6)^2,0)</f>
        <v>0</v>
      </c>
    </row>
    <row r="30" customFormat="false" ht="15" hidden="false" customHeight="false" outlineLevel="0" collapsed="false">
      <c r="A30" s="6"/>
      <c r="B30" s="7"/>
      <c r="C30" s="8"/>
      <c r="D30" s="9"/>
      <c r="F30" s="10" t="n">
        <f aca="false">IF(AND(ISNUMBER(C30),ISNUMBER(D30)),IF(AND(C30&gt;0,D30&gt;0),1,0),0)</f>
        <v>0</v>
      </c>
      <c r="G30" s="11" t="n">
        <f aca="false">IF(F30=1,LN(D30),0)</f>
        <v>0</v>
      </c>
      <c r="H30" s="11" t="n">
        <f aca="false">IF(F30=1,LN(C30/IF(ISNUMBER(B30),IF(B30&gt;0,B30,1),1)),0)</f>
        <v>0</v>
      </c>
      <c r="I30" s="11" t="n">
        <f aca="false">IF(F30=1,G30-$Q$8,0)</f>
        <v>0</v>
      </c>
      <c r="J30" s="11" t="n">
        <f aca="false">IF(F30=1,H30-$Q$9,0)</f>
        <v>0</v>
      </c>
      <c r="K30" s="11" t="n">
        <f aca="false">IF(F30=1,J30-$Q$12*I30,0)</f>
        <v>0</v>
      </c>
      <c r="L30" s="11" t="n">
        <f aca="false">IF(F30=1,1/$Q$5+I30^2/$Q$10,0)</f>
        <v>0</v>
      </c>
      <c r="M30" s="12" t="n">
        <f aca="false">IF(F30=1,IFERROR(I30^2*K30^2/(1-L30)^2,0),0)</f>
        <v>0</v>
      </c>
      <c r="N30" s="11" t="n">
        <f aca="false">IF(F30=1,(D30-$Q$6)^2,0)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5" min="4" style="0" width="30"/>
    <col collapsed="false" customWidth="true" hidden="false" outlineLevel="0" max="6" min="6" style="0" width="22"/>
  </cols>
  <sheetData>
    <row r="1" customFormat="false" ht="19.7" hidden="false" customHeight="false" outlineLevel="0" collapsed="false">
      <c r="A1" s="1" t="s">
        <v>62</v>
      </c>
    </row>
    <row r="2" customFormat="false" ht="15" hidden="false" customHeight="false" outlineLevel="0" collapsed="false">
      <c r="A2" s="4" t="s">
        <v>63</v>
      </c>
    </row>
    <row r="4" customFormat="false" ht="15" hidden="false" customHeight="false" outlineLevel="0" collapsed="false">
      <c r="A4" s="2" t="s">
        <v>64</v>
      </c>
      <c r="B4" s="9" t="n">
        <v>24.99</v>
      </c>
    </row>
    <row r="5" customFormat="false" ht="15" hidden="false" customHeight="false" outlineLevel="0" collapsed="false">
      <c r="A5" s="2" t="s">
        <v>65</v>
      </c>
      <c r="B5" s="8" t="n">
        <v>523</v>
      </c>
    </row>
    <row r="6" customFormat="false" ht="15" hidden="false" customHeight="false" outlineLevel="0" collapsed="false">
      <c r="A6" s="2" t="s">
        <v>66</v>
      </c>
      <c r="B6" s="9" t="n">
        <v>6.2</v>
      </c>
    </row>
    <row r="7" customFormat="false" ht="15" hidden="false" customHeight="false" outlineLevel="0" collapsed="false">
      <c r="A7" s="2" t="s">
        <v>67</v>
      </c>
      <c r="B7" s="21" t="n">
        <v>0.15</v>
      </c>
    </row>
    <row r="8" customFormat="false" ht="15" hidden="false" customHeight="false" outlineLevel="0" collapsed="false">
      <c r="A8" s="2" t="s">
        <v>68</v>
      </c>
      <c r="B8" s="9" t="n">
        <v>4.347</v>
      </c>
    </row>
    <row r="9" customFormat="false" ht="15" hidden="false" customHeight="false" outlineLevel="0" collapsed="false">
      <c r="A9" s="2" t="s">
        <v>69</v>
      </c>
      <c r="B9" s="9" t="n">
        <v>0</v>
      </c>
    </row>
    <row r="10" customFormat="false" ht="15" hidden="false" customHeight="false" outlineLevel="0" collapsed="false">
      <c r="A10" s="2" t="s">
        <v>44</v>
      </c>
      <c r="B10" s="22" t="n">
        <f aca="false">'Your history'!Q12</f>
        <v>-1.85957072334543</v>
      </c>
    </row>
    <row r="11" customFormat="false" ht="15" hidden="false" customHeight="false" outlineLevel="0" collapsed="false">
      <c r="A11" s="2" t="s">
        <v>70</v>
      </c>
      <c r="B11" s="22" t="n">
        <f aca="false">'Your history'!Q18</f>
        <v>0.2786644151211</v>
      </c>
    </row>
    <row r="12" customFormat="false" ht="15" hidden="false" customHeight="false" outlineLevel="0" collapsed="false">
      <c r="A12" s="2" t="s">
        <v>56</v>
      </c>
      <c r="B12" s="22" t="n">
        <f aca="false">'Your history'!Q20</f>
        <v>-2.48047373334278</v>
      </c>
    </row>
    <row r="13" customFormat="false" ht="15" hidden="false" customHeight="false" outlineLevel="0" collapsed="false">
      <c r="A13" s="2" t="s">
        <v>57</v>
      </c>
      <c r="B13" s="22" t="n">
        <f aca="false">'Your history'!Q21</f>
        <v>-1.23866771334807</v>
      </c>
    </row>
    <row r="14" customFormat="false" ht="15" hidden="false" customHeight="false" outlineLevel="0" collapsed="false">
      <c r="A14" s="2" t="s">
        <v>71</v>
      </c>
      <c r="B14" s="6" t="str">
        <f aca="false">'Your history'!Q22</f>
        <v>Read</v>
      </c>
    </row>
    <row r="16" customFormat="false" ht="15" hidden="false" customHeight="false" outlineLevel="0" collapsed="false">
      <c r="A16" s="2" t="s">
        <v>72</v>
      </c>
      <c r="B16" s="14" t="n">
        <f aca="false">B6+B8+B9</f>
        <v>10.547</v>
      </c>
    </row>
    <row r="17" customFormat="false" ht="15" hidden="false" customHeight="false" outlineLevel="0" collapsed="false">
      <c r="A17" s="2" t="s">
        <v>73</v>
      </c>
      <c r="B17" s="14" t="n">
        <f aca="false">B4*(1-B7)-B16</f>
        <v>10.6945</v>
      </c>
    </row>
    <row r="18" customFormat="false" ht="15" hidden="false" customHeight="false" outlineLevel="0" collapsed="false">
      <c r="A18" s="2" t="s">
        <v>74</v>
      </c>
      <c r="B18" s="14" t="n">
        <f aca="false">B5*B17</f>
        <v>5593.2235</v>
      </c>
    </row>
    <row r="19" customFormat="false" ht="15" hidden="false" customHeight="false" outlineLevel="0" collapsed="false">
      <c r="A19" s="2" t="s">
        <v>59</v>
      </c>
      <c r="B19" s="2" t="str">
        <f aca="false">IF(B14&lt;&gt;"Read","",IF(OR(AND(B12&lt;=-1,B13&gt;=-1),ABS(1+B10)&lt;2*B11,AND(B10&lt;-1,B11/ABS(B10*(1+B10))&gt;0.5)),"yes","no"))</f>
        <v>no</v>
      </c>
    </row>
    <row r="20" customFormat="false" ht="15" hidden="false" customHeight="false" outlineLevel="0" collapsed="false">
      <c r="A20" s="18" t="s">
        <v>75</v>
      </c>
      <c r="B20" s="23" t="n">
        <f aca="false">IF(AND(B14="Read",B19="no",B10&lt;-1,B16&gt;0,B7&lt;1),B16/(1-B7)*B10/(1+B10),"none")</f>
        <v>26.8436214201424</v>
      </c>
    </row>
    <row r="21" customFormat="false" ht="15" hidden="false" customHeight="false" outlineLevel="0" collapsed="false">
      <c r="A21" s="2" t="s">
        <v>76</v>
      </c>
      <c r="B21" s="2" t="str">
        <f aca="false">IF(ISNUMBER(B20),"",IF(B14&lt;&gt;"Read","The fit is not read yet: see Your history.",IF(B10&gt;=-1,"Demand this inelastic has no best price: profit rises with the price. Walk up and measure.","Too close to −1 to name a price: "&amp;IF(AND(B16&gt;0,B7&lt;1,B10&lt;-1),IF(B16/(1-B7)*B10/(1+B10)&gt;B4,"the estimate puts it above today's, so the direction is up; the distance is unknown.","the estimate puts it below today's while the range reaches −1: hold, the data cannot say which way."),"hold."))))</f>
        <v/>
      </c>
    </row>
    <row r="22" customFormat="false" ht="15" hidden="false" customHeight="false" outlineLevel="0" collapsed="false">
      <c r="A22" s="2" t="s">
        <v>77</v>
      </c>
      <c r="B22" s="2" t="str">
        <f aca="false">IF(ISNUMBER(B20),IF(B20&gt;B4,"up",IF(B20&lt;B4,"down","hold")),IF(B14&lt;&gt;"Read","hold",IF(B10&gt;=-1,"up",IF(AND(B19="yes",B16&gt;0,B7&lt;1),IF(B16/(1-B7)*B10/(1+B10)&gt;B4,"up","hold"),"hold"))))</f>
        <v>up</v>
      </c>
    </row>
    <row r="23" customFormat="false" ht="15" hidden="false" customHeight="false" outlineLevel="0" collapsed="false">
      <c r="A23" s="18" t="s">
        <v>78</v>
      </c>
      <c r="B23" s="23" t="n">
        <f aca="false">ROUND(IF(B22="up",B4*(1+MIN(0.05,IF(ISNUMBER(B20),B20/B4-1,0.05))),IF(B22="down",B4*(1-MIN(0.05,1-B20/B4)),B4)),2)</f>
        <v>26.24</v>
      </c>
    </row>
    <row r="24" customFormat="false" ht="15" hidden="false" customHeight="false" outlineLevel="0" collapsed="false">
      <c r="A24" s="2" t="s">
        <v>79</v>
      </c>
      <c r="B24" s="14" t="n">
        <f aca="false">B5*(B23/B4)^B10*(B23*(1-B7)-B16)</f>
        <v>5615.38862574711</v>
      </c>
    </row>
    <row r="25" customFormat="false" ht="15" hidden="false" customHeight="false" outlineLevel="0" collapsed="false">
      <c r="A25" s="18" t="s">
        <v>80</v>
      </c>
      <c r="B25" s="24" t="n">
        <f aca="false">B24-B18</f>
        <v>22.1651257471076</v>
      </c>
    </row>
    <row r="26" customFormat="false" ht="15" hidden="false" customHeight="false" outlineLevel="0" collapsed="false">
      <c r="A26" s="2" t="s">
        <v>81</v>
      </c>
      <c r="B26" s="25" t="n">
        <f aca="false">IF(ISNUMBER(B20),B5*(B20/B4)^B10*(B20*(1-B7)-B16)-B18,"")</f>
        <v>24.5359637266511</v>
      </c>
    </row>
    <row r="27" customFormat="false" ht="15" hidden="false" customHeight="false" outlineLevel="0" collapsed="false">
      <c r="A27" s="2" t="s">
        <v>82</v>
      </c>
      <c r="B27" s="2" t="str">
        <f aca="false">IF(OR(AND(MIN(B4,IF(ISNUMBER(B20),B20,B23))&lt;10,MAX(B4,IF(ISNUMBER(B20),B20,B23))&gt;=10),AND(MIN(B4,IF(ISNUMBER(B20),B20,B23))&lt;=50,MAX(B4,IF(ISNUMBER(B20),B20,B23))&gt;50)),"Yes: Amazon's fulfilment fee changes at $10 and $50. Price both sides on The Fee Staircase sheet.","No")</f>
        <v>No</v>
      </c>
    </row>
    <row r="29" customFormat="false" ht="15" hidden="false" customHeight="false" outlineLevel="0" collapsed="false">
      <c r="A29" s="3" t="s">
        <v>83</v>
      </c>
    </row>
    <row r="30" customFormat="false" ht="15" hidden="false" customHeight="false" outlineLevel="0" collapsed="false">
      <c r="A30" s="18" t="s">
        <v>84</v>
      </c>
      <c r="B30" s="18" t="s">
        <v>85</v>
      </c>
      <c r="C30" s="18" t="s">
        <v>86</v>
      </c>
      <c r="D30" s="18" t="s">
        <v>87</v>
      </c>
      <c r="E30" s="18" t="s">
        <v>88</v>
      </c>
      <c r="F30" s="18" t="s">
        <v>89</v>
      </c>
    </row>
    <row r="31" customFormat="false" ht="15" hidden="false" customHeight="false" outlineLevel="0" collapsed="false">
      <c r="A31" s="26" t="n">
        <v>-0.1</v>
      </c>
      <c r="B31" s="14" t="n">
        <f aca="false">$B$4*(1+A31)</f>
        <v>22.491</v>
      </c>
      <c r="C31" s="14" t="n">
        <f aca="false">B31*(1-$B$7)-$B$16</f>
        <v>8.57035</v>
      </c>
      <c r="D31" s="26" t="n">
        <f aca="false">IF(C31&gt;0,$B$17/C31-1,"loses on every unit")</f>
        <v>0.247848687626526</v>
      </c>
      <c r="E31" s="26" t="n">
        <f aca="false">(B31/$B$4)^$B$10-1</f>
        <v>0.216436071043454</v>
      </c>
      <c r="F31" s="25" t="n">
        <f aca="false">$B$5*(B31/$B$4)^$B$10*C31-$B$18</f>
        <v>-140.80055299262</v>
      </c>
    </row>
    <row r="32" customFormat="false" ht="15" hidden="false" customHeight="false" outlineLevel="0" collapsed="false">
      <c r="A32" s="26" t="n">
        <v>-0.09</v>
      </c>
      <c r="B32" s="14" t="n">
        <f aca="false">$B$4*(1+A32)</f>
        <v>22.7409</v>
      </c>
      <c r="C32" s="14" t="n">
        <f aca="false">B32*(1-$B$7)-$B$16</f>
        <v>8.782765</v>
      </c>
      <c r="D32" s="26" t="n">
        <f aca="false">IF(C32&gt;0,$B$17/C32-1,"loses on every unit")</f>
        <v>0.217668923169412</v>
      </c>
      <c r="E32" s="26" t="n">
        <f aca="false">(B32/$B$4)^$B$10-1</f>
        <v>0.191695852091483</v>
      </c>
      <c r="F32" s="25" t="n">
        <f aca="false">$B$5*(B32/$B$4)^$B$10*C32-$B$18</f>
        <v>-119.304343533808</v>
      </c>
    </row>
    <row r="33" customFormat="false" ht="15" hidden="false" customHeight="false" outlineLevel="0" collapsed="false">
      <c r="A33" s="26" t="n">
        <v>-0.08</v>
      </c>
      <c r="B33" s="14" t="n">
        <f aca="false">$B$4*(1+A33)</f>
        <v>22.9908</v>
      </c>
      <c r="C33" s="14" t="n">
        <f aca="false">B33*(1-$B$7)-$B$16</f>
        <v>8.99518</v>
      </c>
      <c r="D33" s="26" t="n">
        <f aca="false">IF(C33&gt;0,$B$17/C33-1,"loses on every unit")</f>
        <v>0.188914507547376</v>
      </c>
      <c r="E33" s="26" t="n">
        <f aca="false">(B33/$B$4)^$B$10-1</f>
        <v>0.167721014992866</v>
      </c>
      <c r="F33" s="25" t="n">
        <f aca="false">$B$5*(B33/$B$4)^$B$10*C33-$B$18</f>
        <v>-99.7043436264339</v>
      </c>
    </row>
    <row r="34" customFormat="false" ht="15" hidden="false" customHeight="false" outlineLevel="0" collapsed="false">
      <c r="A34" s="26" t="n">
        <v>-0.07</v>
      </c>
      <c r="B34" s="14" t="n">
        <f aca="false">$B$4*(1+A34)</f>
        <v>23.2407</v>
      </c>
      <c r="C34" s="14" t="n">
        <f aca="false">B34*(1-$B$7)-$B$16</f>
        <v>9.207595</v>
      </c>
      <c r="D34" s="26" t="n">
        <f aca="false">IF(C34&gt;0,$B$17/C34-1,"loses on every unit")</f>
        <v>0.161486794325771</v>
      </c>
      <c r="E34" s="26" t="n">
        <f aca="false">(B34/$B$4)^$B$10-1</f>
        <v>0.144479943223055</v>
      </c>
      <c r="F34" s="25" t="n">
        <f aca="false">$B$5*(B34/$B$4)^$B$10*C34-$B$18</f>
        <v>-81.8977191246759</v>
      </c>
    </row>
    <row r="35" customFormat="false" ht="15" hidden="false" customHeight="false" outlineLevel="0" collapsed="false">
      <c r="A35" s="26" t="n">
        <v>-0.06</v>
      </c>
      <c r="B35" s="14" t="n">
        <f aca="false">$B$4*(1+A35)</f>
        <v>23.4906</v>
      </c>
      <c r="C35" s="14" t="n">
        <f aca="false">B35*(1-$B$7)-$B$16</f>
        <v>9.42001</v>
      </c>
      <c r="D35" s="26" t="n">
        <f aca="false">IF(C35&gt;0,$B$17/C35-1,"loses on every unit")</f>
        <v>0.135296034717585</v>
      </c>
      <c r="E35" s="26" t="n">
        <f aca="false">(B35/$B$4)^$B$10-1</f>
        <v>0.121942647236875</v>
      </c>
      <c r="F35" s="25" t="n">
        <f aca="false">$B$5*(B35/$B$4)^$B$10*C35-$B$18</f>
        <v>-65.7876698039354</v>
      </c>
    </row>
    <row r="36" customFormat="false" ht="15" hidden="false" customHeight="false" outlineLevel="0" collapsed="false">
      <c r="A36" s="26" t="n">
        <v>-0.05</v>
      </c>
      <c r="B36" s="14" t="n">
        <f aca="false">$B$4*(1+A36)</f>
        <v>23.7405</v>
      </c>
      <c r="C36" s="14" t="n">
        <f aca="false">B36*(1-$B$7)-$B$16</f>
        <v>9.632425</v>
      </c>
      <c r="D36" s="26" t="n">
        <f aca="false">IF(C36&gt;0,$B$17/C36-1,"loses on every unit")</f>
        <v>0.110260396525278</v>
      </c>
      <c r="E36" s="26" t="n">
        <f aca="false">(B36/$B$4)^$B$10-1</f>
        <v>0.100080664574453</v>
      </c>
      <c r="F36" s="25" t="n">
        <f aca="false">$B$5*(B36/$B$4)^$B$10*C36-$B$18</f>
        <v>-51.2830288725527</v>
      </c>
    </row>
    <row r="37" customFormat="false" ht="15" hidden="false" customHeight="false" outlineLevel="0" collapsed="false">
      <c r="A37" s="26" t="n">
        <v>-0.04</v>
      </c>
      <c r="B37" s="14" t="n">
        <f aca="false">$B$4*(1+A37)</f>
        <v>23.9904</v>
      </c>
      <c r="C37" s="14" t="n">
        <f aca="false">B37*(1-$B$7)-$B$16</f>
        <v>9.84484</v>
      </c>
      <c r="D37" s="26" t="n">
        <f aca="false">IF(C37&gt;0,$B$17/C37-1,"loses on every unit")</f>
        <v>0.0863051100881274</v>
      </c>
      <c r="E37" s="26" t="n">
        <f aca="false">(B37/$B$4)^$B$10-1</f>
        <v>0.0788669670727038</v>
      </c>
      <c r="F37" s="25" t="n">
        <f aca="false">$B$5*(B37/$B$4)^$B$10*C37-$B$18</f>
        <v>-38.2978924833133</v>
      </c>
    </row>
    <row r="38" customFormat="false" ht="15" hidden="false" customHeight="false" outlineLevel="0" collapsed="false">
      <c r="A38" s="26" t="n">
        <v>-0.03</v>
      </c>
      <c r="B38" s="14" t="n">
        <f aca="false">$B$4*(1+A38)</f>
        <v>24.2403</v>
      </c>
      <c r="C38" s="14" t="n">
        <f aca="false">B38*(1-$B$7)-$B$16</f>
        <v>10.057255</v>
      </c>
      <c r="D38" s="26" t="n">
        <f aca="false">IF(C38&gt;0,$B$17/C38-1,"loses on every unit")</f>
        <v>0.0633617224580663</v>
      </c>
      <c r="E38" s="26" t="n">
        <f aca="false">(B38/$B$4)^$B$10-1</f>
        <v>0.0582758746092142</v>
      </c>
      <c r="F38" s="25" t="n">
        <f aca="false">$B$5*(B38/$B$4)^$B$10*C38-$B$18</f>
        <v>-26.7512767338176</v>
      </c>
    </row>
    <row r="39" customFormat="false" ht="15" hidden="false" customHeight="false" outlineLevel="0" collapsed="false">
      <c r="A39" s="26" t="n">
        <v>-0.02</v>
      </c>
      <c r="B39" s="14" t="n">
        <f aca="false">$B$4*(1+A39)</f>
        <v>24.4902</v>
      </c>
      <c r="C39" s="14" t="n">
        <f aca="false">B39*(1-$B$7)-$B$16</f>
        <v>10.26967</v>
      </c>
      <c r="D39" s="26" t="n">
        <f aca="false">IF(C39&gt;0,$B$17/C39-1,"loses on every unit")</f>
        <v>0.0413674441340375</v>
      </c>
      <c r="E39" s="26" t="n">
        <f aca="false">(B39/$B$4)^$B$10-1</f>
        <v>0.0382829748569504</v>
      </c>
      <c r="F39" s="25" t="n">
        <f aca="false">$B$5*(B39/$B$4)^$B$10*C39-$B$18</f>
        <v>-16.5667998772306</v>
      </c>
    </row>
    <row r="40" customFormat="false" ht="15" hidden="false" customHeight="false" outlineLevel="0" collapsed="false">
      <c r="A40" s="26" t="n">
        <v>-0.01</v>
      </c>
      <c r="B40" s="14" t="n">
        <f aca="false">$B$4*(1+A40)</f>
        <v>24.7401</v>
      </c>
      <c r="C40" s="14" t="n">
        <f aca="false">B40*(1-$B$7)-$B$16</f>
        <v>10.482085</v>
      </c>
      <c r="D40" s="26" t="n">
        <f aca="false">IF(C40&gt;0,$B$17/C40-1,"loses on every unit")</f>
        <v>0.0202645752252535</v>
      </c>
      <c r="E40" s="26" t="n">
        <f aca="false">(B40/$B$4)^$B$10-1</f>
        <v>0.0188650485746933</v>
      </c>
      <c r="F40" s="25" t="n">
        <f aca="false">$B$5*(B40/$B$4)^$B$10*C40-$B$18</f>
        <v>-7.67238767362051</v>
      </c>
    </row>
    <row r="41" customFormat="false" ht="15" hidden="false" customHeight="false" outlineLevel="0" collapsed="false">
      <c r="A41" s="26" t="n">
        <v>0</v>
      </c>
      <c r="B41" s="14" t="n">
        <f aca="false">$B$4*(1+A41)</f>
        <v>24.99</v>
      </c>
      <c r="C41" s="14" t="n">
        <f aca="false">B41*(1-$B$7)-$B$16</f>
        <v>10.6945</v>
      </c>
      <c r="D41" s="26" t="n">
        <f aca="false">IF(C41&gt;0,$B$17/C41-1,"loses on every unit")</f>
        <v>0</v>
      </c>
      <c r="E41" s="26" t="n">
        <f aca="false">(B41/$B$4)^$B$10-1</f>
        <v>0</v>
      </c>
      <c r="F41" s="25" t="n">
        <f aca="false">$B$5*(B41/$B$4)^$B$10*C41-$B$18</f>
        <v>0</v>
      </c>
    </row>
    <row r="42" customFormat="false" ht="15" hidden="false" customHeight="false" outlineLevel="0" collapsed="false">
      <c r="A42" s="26" t="n">
        <v>0.01</v>
      </c>
      <c r="B42" s="14" t="n">
        <f aca="false">$B$4*(1+A42)</f>
        <v>25.2399</v>
      </c>
      <c r="C42" s="14" t="n">
        <f aca="false">B42*(1-$B$7)-$B$16</f>
        <v>10.906915</v>
      </c>
      <c r="D42" s="26" t="n">
        <f aca="false">IF(C42&gt;0,$B$17/C42-1,"loses on every unit")</f>
        <v>-0.0194752595028017</v>
      </c>
      <c r="E42" s="26" t="n">
        <f aca="false">(B42/$B$4)^$B$10-1</f>
        <v>-0.018333208050662</v>
      </c>
      <c r="F42" s="25" t="n">
        <f aca="false">$B$5*(B42/$B$4)^$B$10*C42-$B$18</f>
        <v>6.51462299368177</v>
      </c>
    </row>
    <row r="43" customFormat="false" ht="15" hidden="false" customHeight="false" outlineLevel="0" collapsed="false">
      <c r="A43" s="26" t="n">
        <v>0.02</v>
      </c>
      <c r="B43" s="14" t="n">
        <f aca="false">$B$4*(1+A43)</f>
        <v>25.4898</v>
      </c>
      <c r="C43" s="14" t="n">
        <f aca="false">B43*(1-$B$7)-$B$16</f>
        <v>11.11933</v>
      </c>
      <c r="D43" s="26" t="n">
        <f aca="false">IF(C43&gt;0,$B$17/C43-1,"loses on every unit")</f>
        <v>-0.0382064386972957</v>
      </c>
      <c r="E43" s="26" t="n">
        <f aca="false">(B43/$B$4)^$B$10-1</f>
        <v>-0.0361546147357755</v>
      </c>
      <c r="F43" s="25" t="n">
        <f aca="false">$B$5*(B43/$B$4)^$B$10*C43-$B$18</f>
        <v>11.9321967428159</v>
      </c>
    </row>
    <row r="44" customFormat="false" ht="15" hidden="false" customHeight="false" outlineLevel="0" collapsed="false">
      <c r="A44" s="26" t="n">
        <v>0.03</v>
      </c>
      <c r="B44" s="14" t="n">
        <f aca="false">$B$4*(1+A44)</f>
        <v>25.7397</v>
      </c>
      <c r="C44" s="14" t="n">
        <f aca="false">B44*(1-$B$7)-$B$16</f>
        <v>11.331745</v>
      </c>
      <c r="D44" s="26" t="n">
        <f aca="false">IF(C44&gt;0,$B$17/C44-1,"loses on every unit")</f>
        <v>-0.0562353812232803</v>
      </c>
      <c r="E44" s="26" t="n">
        <f aca="false">(B44/$B$4)^$B$10-1</f>
        <v>-0.0534833177268577</v>
      </c>
      <c r="F44" s="25" t="n">
        <f aca="false">$B$5*(B44/$B$4)^$B$10*C44-$B$18</f>
        <v>16.3101115632362</v>
      </c>
    </row>
    <row r="45" customFormat="false" ht="15" hidden="false" customHeight="false" outlineLevel="0" collapsed="false">
      <c r="A45" s="26" t="n">
        <v>0.04</v>
      </c>
      <c r="B45" s="14" t="n">
        <f aca="false">$B$4*(1+A45)</f>
        <v>25.9896</v>
      </c>
      <c r="C45" s="14" t="n">
        <f aca="false">B45*(1-$B$7)-$B$16</f>
        <v>11.54416</v>
      </c>
      <c r="D45" s="26" t="n">
        <f aca="false">IF(C45&gt;0,$B$17/C45-1,"loses on every unit")</f>
        <v>-0.0736008509930562</v>
      </c>
      <c r="E45" s="26" t="n">
        <f aca="false">(B45/$B$4)^$B$10-1</f>
        <v>-0.0703375260329833</v>
      </c>
      <c r="F45" s="25" t="n">
        <f aca="false">$B$5*(B45/$B$4)^$B$10*C45-$B$18</f>
        <v>19.7026366813725</v>
      </c>
    </row>
    <row r="46" customFormat="false" ht="15" hidden="false" customHeight="false" outlineLevel="0" collapsed="false">
      <c r="A46" s="26" t="n">
        <v>0.05</v>
      </c>
      <c r="B46" s="14" t="n">
        <f aca="false">$B$4*(1+A46)</f>
        <v>26.2395</v>
      </c>
      <c r="C46" s="14" t="n">
        <f aca="false">B46*(1-$B$7)-$B$16</f>
        <v>11.756575</v>
      </c>
      <c r="D46" s="26" t="n">
        <f aca="false">IF(C46&gt;0,$B$17/C46-1,"loses on every unit")</f>
        <v>-0.0903388104103449</v>
      </c>
      <c r="E46" s="26" t="n">
        <f aca="false">(B46/$B$4)^$B$10-1</f>
        <v>-0.0867346093885706</v>
      </c>
      <c r="F46" s="25" t="n">
        <f aca="false">$B$5*(B46/$B$4)^$B$10*C46-$B$18</f>
        <v>22.1611101852168</v>
      </c>
    </row>
    <row r="47" customFormat="false" ht="15" hidden="false" customHeight="false" outlineLevel="0" collapsed="false">
      <c r="A47" s="26" t="n">
        <v>0.06</v>
      </c>
      <c r="B47" s="14" t="n">
        <f aca="false">$B$4*(1+A47)</f>
        <v>26.4894</v>
      </c>
      <c r="C47" s="14" t="n">
        <f aca="false">B47*(1-$B$7)-$B$16</f>
        <v>11.96899</v>
      </c>
      <c r="D47" s="26" t="n">
        <f aca="false">IF(C47&gt;0,$B$17/C47-1,"loses on every unit")</f>
        <v>-0.106482668963714</v>
      </c>
      <c r="E47" s="26" t="n">
        <f aca="false">(B47/$B$4)^$B$10-1</f>
        <v>-0.102691144458208</v>
      </c>
      <c r="F47" s="25" t="n">
        <f aca="false">$B$5*(B47/$B$4)^$B$10*C47-$B$18</f>
        <v>23.7341159800708</v>
      </c>
    </row>
    <row r="48" customFormat="false" ht="15" hidden="false" customHeight="false" outlineLevel="0" collapsed="false">
      <c r="A48" s="26" t="n">
        <v>0.07</v>
      </c>
      <c r="B48" s="14" t="n">
        <f aca="false">$B$4*(1+A48)</f>
        <v>26.7393</v>
      </c>
      <c r="C48" s="14" t="n">
        <f aca="false">B48*(1-$B$7)-$B$16</f>
        <v>12.181405</v>
      </c>
      <c r="D48" s="26" t="n">
        <f aca="false">IF(C48&gt;0,$B$17/C48-1,"loses on every unit")</f>
        <v>-0.122063505810701</v>
      </c>
      <c r="E48" s="26" t="n">
        <f aca="false">(B48/$B$4)^$B$10-1</f>
        <v>-0.118222958091376</v>
      </c>
      <c r="F48" s="25" t="n">
        <f aca="false">$B$5*(B48/$B$4)^$B$10*C48-$B$18</f>
        <v>24.4676487408533</v>
      </c>
    </row>
    <row r="49" customFormat="false" ht="15" hidden="false" customHeight="false" outlineLevel="0" collapsed="false">
      <c r="A49" s="26" t="n">
        <v>0.08</v>
      </c>
      <c r="B49" s="14" t="n">
        <f aca="false">$B$4*(1+A49)</f>
        <v>26.9892</v>
      </c>
      <c r="C49" s="14" t="n">
        <f aca="false">B49*(1-$B$7)-$B$16</f>
        <v>12.39382</v>
      </c>
      <c r="D49" s="26" t="n">
        <f aca="false">IF(C49&gt;0,$B$17/C49-1,"loses on every unit")</f>
        <v>-0.137110269473012</v>
      </c>
      <c r="E49" s="26" t="n">
        <f aca="false">(B49/$B$4)^$B$10-1</f>
        <v>-0.133345167840885</v>
      </c>
      <c r="F49" s="25" t="n">
        <f aca="false">$B$5*(B49/$B$4)^$B$10*C49-$B$18</f>
        <v>24.4052677690779</v>
      </c>
    </row>
    <row r="50" customFormat="false" ht="15" hidden="false" customHeight="false" outlineLevel="0" collapsed="false">
      <c r="A50" s="26" t="n">
        <v>0.09</v>
      </c>
      <c r="B50" s="14" t="n">
        <f aca="false">$B$4*(1+A50)</f>
        <v>27.2391</v>
      </c>
      <c r="C50" s="14" t="n">
        <f aca="false">B50*(1-$B$7)-$B$16</f>
        <v>12.606235</v>
      </c>
      <c r="D50" s="26" t="n">
        <f aca="false">IF(C50&gt;0,$B$17/C50-1,"loses on every unit")</f>
        <v>-0.151649957342537</v>
      </c>
      <c r="E50" s="26" t="n">
        <f aca="false">(B50/$B$4)^$B$10-1</f>
        <v>-0.148072219941559</v>
      </c>
      <c r="F50" s="25" t="n">
        <f aca="false">$B$5*(B50/$B$4)^$B$10*C50-$B$18</f>
        <v>23.5882405867442</v>
      </c>
    </row>
    <row r="51" customFormat="false" ht="15" hidden="false" customHeight="false" outlineLevel="0" collapsed="false">
      <c r="A51" s="26" t="n">
        <v>0.1</v>
      </c>
      <c r="B51" s="14" t="n">
        <f aca="false">$B$4*(1+A51)</f>
        <v>27.489</v>
      </c>
      <c r="C51" s="14" t="n">
        <f aca="false">B51*(1-$B$7)-$B$16</f>
        <v>12.81865</v>
      </c>
      <c r="D51" s="26" t="n">
        <f aca="false">IF(C51&gt;0,$B$17/C51-1,"loses on every unit")</f>
        <v>-0.165707777340048</v>
      </c>
      <c r="E51" s="26" t="n">
        <f aca="false">(B51/$B$4)^$B$10-1</f>
        <v>-0.162417924929902</v>
      </c>
      <c r="F51" s="25" t="n">
        <f aca="false">$B$5*(B51/$B$4)^$B$10*C51-$B$18</f>
        <v>22.055677030392</v>
      </c>
    </row>
    <row r="53" customFormat="false" ht="15" hidden="false" customHeight="false" outlineLevel="0" collapsed="false">
      <c r="A53" s="4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6"/>
  </cols>
  <sheetData>
    <row r="1" customFormat="false" ht="19.7" hidden="false" customHeight="false" outlineLevel="0" collapsed="false">
      <c r="A1" s="1" t="s">
        <v>91</v>
      </c>
    </row>
    <row r="2" customFormat="false" ht="15" hidden="false" customHeight="false" outlineLevel="0" collapsed="false">
      <c r="A2" s="4" t="s">
        <v>92</v>
      </c>
    </row>
    <row r="4" customFormat="false" ht="15" hidden="false" customHeight="false" outlineLevel="0" collapsed="false">
      <c r="A4" s="2" t="s">
        <v>93</v>
      </c>
      <c r="B4" s="21" t="n">
        <v>0.2</v>
      </c>
    </row>
    <row r="5" customFormat="false" ht="15" hidden="false" customHeight="false" outlineLevel="0" collapsed="false">
      <c r="A5" s="2" t="s">
        <v>94</v>
      </c>
      <c r="B5" s="9" t="n">
        <v>0</v>
      </c>
    </row>
    <row r="7" customFormat="false" ht="15" hidden="false" customHeight="false" outlineLevel="0" collapsed="false">
      <c r="A7" s="2" t="s">
        <v>95</v>
      </c>
      <c r="B7" s="14" t="n">
        <f aca="false">'Your price'!B4*(1-B4)</f>
        <v>19.992</v>
      </c>
    </row>
    <row r="8" customFormat="false" ht="15" hidden="false" customHeight="false" outlineLevel="0" collapsed="false">
      <c r="A8" s="2" t="s">
        <v>96</v>
      </c>
      <c r="B8" s="14" t="n">
        <f aca="false">B7*(1-'Your price'!B7)-'Your price'!B16-B5</f>
        <v>6.4462</v>
      </c>
    </row>
    <row r="9" customFormat="false" ht="15" hidden="false" customHeight="false" outlineLevel="0" collapsed="false">
      <c r="A9" s="2" t="s">
        <v>73</v>
      </c>
      <c r="B9" s="14" t="n">
        <f aca="false">'Your price'!B17</f>
        <v>10.6945</v>
      </c>
    </row>
    <row r="10" customFormat="false" ht="15" hidden="false" customHeight="false" outlineLevel="0" collapsed="false">
      <c r="A10" s="18" t="s">
        <v>97</v>
      </c>
      <c r="B10" s="27" t="n">
        <f aca="false">IF(B8&gt;0,B9/B8-1,"none: every unit loses money")</f>
        <v>0.659039434085197</v>
      </c>
    </row>
    <row r="11" customFormat="false" ht="15" hidden="false" customHeight="false" outlineLevel="0" collapsed="false">
      <c r="A11" s="18" t="s">
        <v>98</v>
      </c>
      <c r="B11" s="27" t="n">
        <f aca="false">(1-B4)^'Your price'!B10-1</f>
        <v>0.514296864110186</v>
      </c>
    </row>
    <row r="12" customFormat="false" ht="15" hidden="false" customHeight="false" outlineLevel="0" collapsed="false">
      <c r="A12" s="2" t="s">
        <v>99</v>
      </c>
      <c r="B12" s="25" t="n">
        <f aca="false">'Your price'!B5*(1+B11)*B8-'Your price'!B18</f>
        <v>-487.979687041636</v>
      </c>
    </row>
    <row r="13" customFormat="false" ht="15" hidden="false" customHeight="false" outlineLevel="0" collapsed="false">
      <c r="A13" s="18" t="s">
        <v>100</v>
      </c>
      <c r="B13" s="18" t="str">
        <f aca="false">IF(NOT(ISNUMBER(B10)),"Loses money on every unit sold.",IF(B11&gt;=B10,"Pays for itself at your elasticity.","Costs you money at your elasticity."))</f>
        <v>Costs you money at your elasticity.</v>
      </c>
    </row>
    <row r="15" customFormat="false" ht="15" hidden="false" customHeight="false" outlineLevel="0" collapsed="false">
      <c r="A15" s="4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10" min="8" style="0" width="11"/>
    <col collapsed="false" customWidth="true" hidden="false" outlineLevel="0" max="11" min="11" style="0" width="13"/>
    <col collapsed="false" customWidth="true" hidden="false" outlineLevel="0" max="12" min="12" style="0" width="9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4"/>
    <col collapsed="false" customWidth="true" hidden="false" outlineLevel="0" max="17" min="17" style="0" width="6"/>
  </cols>
  <sheetData>
    <row r="1" customFormat="false" ht="19.7" hidden="false" customHeight="false" outlineLevel="0" collapsed="false">
      <c r="A1" s="1" t="s">
        <v>102</v>
      </c>
    </row>
    <row r="2" customFormat="false" ht="15" hidden="false" customHeight="false" outlineLevel="0" collapsed="false">
      <c r="A2" s="4" t="s">
        <v>103</v>
      </c>
    </row>
    <row r="4" customFormat="false" ht="15" hidden="false" customHeight="false" outlineLevel="0" collapsed="false">
      <c r="A4" s="28" t="s">
        <v>104</v>
      </c>
      <c r="B4" s="28" t="s">
        <v>85</v>
      </c>
      <c r="C4" s="28" t="s">
        <v>105</v>
      </c>
      <c r="D4" s="28" t="s">
        <v>106</v>
      </c>
      <c r="E4" s="28" t="s">
        <v>67</v>
      </c>
      <c r="F4" s="28" t="s">
        <v>107</v>
      </c>
      <c r="G4" s="28" t="s">
        <v>44</v>
      </c>
      <c r="H4" s="28" t="s">
        <v>70</v>
      </c>
      <c r="I4" s="28" t="s">
        <v>108</v>
      </c>
      <c r="J4" s="28" t="s">
        <v>109</v>
      </c>
      <c r="K4" s="3" t="s">
        <v>110</v>
      </c>
      <c r="L4" s="3" t="s">
        <v>59</v>
      </c>
      <c r="M4" s="3" t="s">
        <v>75</v>
      </c>
      <c r="N4" s="3" t="s">
        <v>77</v>
      </c>
      <c r="O4" s="3" t="s">
        <v>111</v>
      </c>
      <c r="P4" s="3" t="s">
        <v>80</v>
      </c>
      <c r="Q4" s="3" t="s">
        <v>112</v>
      </c>
    </row>
    <row r="5" customFormat="false" ht="15" hidden="false" customHeight="false" outlineLevel="0" collapsed="false">
      <c r="A5" s="6"/>
      <c r="B5" s="9"/>
      <c r="C5" s="8"/>
      <c r="D5" s="9"/>
      <c r="E5" s="21"/>
      <c r="F5" s="9"/>
      <c r="G5" s="22"/>
      <c r="H5" s="22"/>
      <c r="I5" s="22"/>
      <c r="J5" s="22"/>
      <c r="K5" s="14" t="str">
        <f aca="false">IF(AND(ISNUMBER(B5),ISNUMBER(G5),ISNUMBER(H5)),B5*(1-E5)-D5-F5,"")</f>
        <v/>
      </c>
      <c r="L5" s="2" t="str">
        <f aca="false">IF(AND(ISNUMBER(B5),ISNUMBER(G5),ISNUMBER(H5)),IF(OR(AND(I5&lt;=-1,J5&gt;=-1),ABS(1+G5)&lt;2*H5,AND(G5&lt;-1,H5/ABS(G5*(1+G5))&gt;0.5)),"yes","no"),"")</f>
        <v/>
      </c>
      <c r="M5" s="14" t="str">
        <f aca="false">IF(AND(ISNUMBER(B5),ISNUMBER(G5),ISNUMBER(H5)),IF(AND(L5="no",G5&lt;-1,D5+F5&gt;0,E5&lt;1),(D5+F5)/(1-E5)*G5/(1+G5),"none"),"")</f>
        <v/>
      </c>
      <c r="N5" s="2" t="str">
        <f aca="false">IF(AND(ISNUMBER(B5),ISNUMBER(G5),ISNUMBER(H5)),IF(ISNUMBER(M5),IF(M5&gt;B5,"up",IF(M5&lt;B5,"down","hold")),IF(G5&gt;=-1,"up",IF(AND(L5="yes",D5+F5&gt;0,E5&lt;1),IF((D5+F5)/(1-E5)*G5/(1+G5)&gt;B5,"up","hold"),"hold"))),"")</f>
        <v/>
      </c>
      <c r="O5" s="14" t="str">
        <f aca="false">IF(AND(ISNUMBER(B5),ISNUMBER(G5),ISNUMBER(H5)),ROUND(IF(N5="up",B5*(1+MIN(0.05,IF(ISNUMBER(M5),M5/B5-1,0.05))),IF(N5="down",B5*(1-MIN(0.05,1-M5/B5)),B5)),2),"")</f>
        <v/>
      </c>
      <c r="P5" s="25" t="str">
        <f aca="false">IF(AND(ISNUMBER(B5),ISNUMBER(G5),ISNUMBER(H5)),C5*(O5/B5)^G5*(O5*(1-E5)-D5-F5)-C5*K5,"")</f>
        <v/>
      </c>
      <c r="Q5" s="13" t="str">
        <f aca="false">IF(ISNUMBER(P5),RANK(P5,$P$5:$P$54),"")</f>
        <v/>
      </c>
    </row>
    <row r="6" customFormat="false" ht="15" hidden="false" customHeight="false" outlineLevel="0" collapsed="false">
      <c r="A6" s="6"/>
      <c r="B6" s="9"/>
      <c r="C6" s="8"/>
      <c r="D6" s="9"/>
      <c r="E6" s="21"/>
      <c r="F6" s="9"/>
      <c r="G6" s="22"/>
      <c r="H6" s="22"/>
      <c r="I6" s="22"/>
      <c r="J6" s="22"/>
      <c r="K6" s="14" t="str">
        <f aca="false">IF(AND(ISNUMBER(B6),ISNUMBER(G6),ISNUMBER(H6)),B6*(1-E6)-D6-F6,"")</f>
        <v/>
      </c>
      <c r="L6" s="2" t="str">
        <f aca="false">IF(AND(ISNUMBER(B6),ISNUMBER(G6),ISNUMBER(H6)),IF(OR(AND(I6&lt;=-1,J6&gt;=-1),ABS(1+G6)&lt;2*H6,AND(G6&lt;-1,H6/ABS(G6*(1+G6))&gt;0.5)),"yes","no"),"")</f>
        <v/>
      </c>
      <c r="M6" s="14" t="str">
        <f aca="false">IF(AND(ISNUMBER(B6),ISNUMBER(G6),ISNUMBER(H6)),IF(AND(L6="no",G6&lt;-1,D6+F6&gt;0,E6&lt;1),(D6+F6)/(1-E6)*G6/(1+G6),"none"),"")</f>
        <v/>
      </c>
      <c r="N6" s="2" t="str">
        <f aca="false">IF(AND(ISNUMBER(B6),ISNUMBER(G6),ISNUMBER(H6)),IF(ISNUMBER(M6),IF(M6&gt;B6,"up",IF(M6&lt;B6,"down","hold")),IF(G6&gt;=-1,"up",IF(AND(L6="yes",D6+F6&gt;0,E6&lt;1),IF((D6+F6)/(1-E6)*G6/(1+G6)&gt;B6,"up","hold"),"hold"))),"")</f>
        <v/>
      </c>
      <c r="O6" s="14" t="str">
        <f aca="false">IF(AND(ISNUMBER(B6),ISNUMBER(G6),ISNUMBER(H6)),ROUND(IF(N6="up",B6*(1+MIN(0.05,IF(ISNUMBER(M6),M6/B6-1,0.05))),IF(N6="down",B6*(1-MIN(0.05,1-M6/B6)),B6)),2),"")</f>
        <v/>
      </c>
      <c r="P6" s="25" t="str">
        <f aca="false">IF(AND(ISNUMBER(B6),ISNUMBER(G6),ISNUMBER(H6)),C6*(O6/B6)^G6*(O6*(1-E6)-D6-F6)-C6*K6,"")</f>
        <v/>
      </c>
      <c r="Q6" s="13" t="str">
        <f aca="false">IF(ISNUMBER(P6),RANK(P6,$P$5:$P$54),"")</f>
        <v/>
      </c>
    </row>
    <row r="7" customFormat="false" ht="15" hidden="false" customHeight="false" outlineLevel="0" collapsed="false">
      <c r="A7" s="6"/>
      <c r="B7" s="9"/>
      <c r="C7" s="8"/>
      <c r="D7" s="9"/>
      <c r="E7" s="21"/>
      <c r="F7" s="9"/>
      <c r="G7" s="22"/>
      <c r="H7" s="22"/>
      <c r="I7" s="22"/>
      <c r="J7" s="22"/>
      <c r="K7" s="14" t="str">
        <f aca="false">IF(AND(ISNUMBER(B7),ISNUMBER(G7),ISNUMBER(H7)),B7*(1-E7)-D7-F7,"")</f>
        <v/>
      </c>
      <c r="L7" s="2" t="str">
        <f aca="false">IF(AND(ISNUMBER(B7),ISNUMBER(G7),ISNUMBER(H7)),IF(OR(AND(I7&lt;=-1,J7&gt;=-1),ABS(1+G7)&lt;2*H7,AND(G7&lt;-1,H7/ABS(G7*(1+G7))&gt;0.5)),"yes","no"),"")</f>
        <v/>
      </c>
      <c r="M7" s="14" t="str">
        <f aca="false">IF(AND(ISNUMBER(B7),ISNUMBER(G7),ISNUMBER(H7)),IF(AND(L7="no",G7&lt;-1,D7+F7&gt;0,E7&lt;1),(D7+F7)/(1-E7)*G7/(1+G7),"none"),"")</f>
        <v/>
      </c>
      <c r="N7" s="2" t="str">
        <f aca="false">IF(AND(ISNUMBER(B7),ISNUMBER(G7),ISNUMBER(H7)),IF(ISNUMBER(M7),IF(M7&gt;B7,"up",IF(M7&lt;B7,"down","hold")),IF(G7&gt;=-1,"up",IF(AND(L7="yes",D7+F7&gt;0,E7&lt;1),IF((D7+F7)/(1-E7)*G7/(1+G7)&gt;B7,"up","hold"),"hold"))),"")</f>
        <v/>
      </c>
      <c r="O7" s="14" t="str">
        <f aca="false">IF(AND(ISNUMBER(B7),ISNUMBER(G7),ISNUMBER(H7)),ROUND(IF(N7="up",B7*(1+MIN(0.05,IF(ISNUMBER(M7),M7/B7-1,0.05))),IF(N7="down",B7*(1-MIN(0.05,1-M7/B7)),B7)),2),"")</f>
        <v/>
      </c>
      <c r="P7" s="25" t="str">
        <f aca="false">IF(AND(ISNUMBER(B7),ISNUMBER(G7),ISNUMBER(H7)),C7*(O7/B7)^G7*(O7*(1-E7)-D7-F7)-C7*K7,"")</f>
        <v/>
      </c>
      <c r="Q7" s="13" t="str">
        <f aca="false">IF(ISNUMBER(P7),RANK(P7,$P$5:$P$54),"")</f>
        <v/>
      </c>
    </row>
    <row r="8" customFormat="false" ht="15" hidden="false" customHeight="false" outlineLevel="0" collapsed="false">
      <c r="A8" s="6"/>
      <c r="B8" s="9"/>
      <c r="C8" s="8"/>
      <c r="D8" s="9"/>
      <c r="E8" s="21"/>
      <c r="F8" s="9"/>
      <c r="G8" s="22"/>
      <c r="H8" s="22"/>
      <c r="I8" s="22"/>
      <c r="J8" s="22"/>
      <c r="K8" s="14" t="str">
        <f aca="false">IF(AND(ISNUMBER(B8),ISNUMBER(G8),ISNUMBER(H8)),B8*(1-E8)-D8-F8,"")</f>
        <v/>
      </c>
      <c r="L8" s="2" t="str">
        <f aca="false">IF(AND(ISNUMBER(B8),ISNUMBER(G8),ISNUMBER(H8)),IF(OR(AND(I8&lt;=-1,J8&gt;=-1),ABS(1+G8)&lt;2*H8,AND(G8&lt;-1,H8/ABS(G8*(1+G8))&gt;0.5)),"yes","no"),"")</f>
        <v/>
      </c>
      <c r="M8" s="14" t="str">
        <f aca="false">IF(AND(ISNUMBER(B8),ISNUMBER(G8),ISNUMBER(H8)),IF(AND(L8="no",G8&lt;-1,D8+F8&gt;0,E8&lt;1),(D8+F8)/(1-E8)*G8/(1+G8),"none"),"")</f>
        <v/>
      </c>
      <c r="N8" s="2" t="str">
        <f aca="false">IF(AND(ISNUMBER(B8),ISNUMBER(G8),ISNUMBER(H8)),IF(ISNUMBER(M8),IF(M8&gt;B8,"up",IF(M8&lt;B8,"down","hold")),IF(G8&gt;=-1,"up",IF(AND(L8="yes",D8+F8&gt;0,E8&lt;1),IF((D8+F8)/(1-E8)*G8/(1+G8)&gt;B8,"up","hold"),"hold"))),"")</f>
        <v/>
      </c>
      <c r="O8" s="14" t="str">
        <f aca="false">IF(AND(ISNUMBER(B8),ISNUMBER(G8),ISNUMBER(H8)),ROUND(IF(N8="up",B8*(1+MIN(0.05,IF(ISNUMBER(M8),M8/B8-1,0.05))),IF(N8="down",B8*(1-MIN(0.05,1-M8/B8)),B8)),2),"")</f>
        <v/>
      </c>
      <c r="P8" s="25" t="str">
        <f aca="false">IF(AND(ISNUMBER(B8),ISNUMBER(G8),ISNUMBER(H8)),C8*(O8/B8)^G8*(O8*(1-E8)-D8-F8)-C8*K8,"")</f>
        <v/>
      </c>
      <c r="Q8" s="13" t="str">
        <f aca="false">IF(ISNUMBER(P8),RANK(P8,$P$5:$P$54),"")</f>
        <v/>
      </c>
    </row>
    <row r="9" customFormat="false" ht="15" hidden="false" customHeight="false" outlineLevel="0" collapsed="false">
      <c r="A9" s="6"/>
      <c r="B9" s="9"/>
      <c r="C9" s="8"/>
      <c r="D9" s="9"/>
      <c r="E9" s="21"/>
      <c r="F9" s="9"/>
      <c r="G9" s="22"/>
      <c r="H9" s="22"/>
      <c r="I9" s="22"/>
      <c r="J9" s="22"/>
      <c r="K9" s="14" t="str">
        <f aca="false">IF(AND(ISNUMBER(B9),ISNUMBER(G9),ISNUMBER(H9)),B9*(1-E9)-D9-F9,"")</f>
        <v/>
      </c>
      <c r="L9" s="2" t="str">
        <f aca="false">IF(AND(ISNUMBER(B9),ISNUMBER(G9),ISNUMBER(H9)),IF(OR(AND(I9&lt;=-1,J9&gt;=-1),ABS(1+G9)&lt;2*H9,AND(G9&lt;-1,H9/ABS(G9*(1+G9))&gt;0.5)),"yes","no"),"")</f>
        <v/>
      </c>
      <c r="M9" s="14" t="str">
        <f aca="false">IF(AND(ISNUMBER(B9),ISNUMBER(G9),ISNUMBER(H9)),IF(AND(L9="no",G9&lt;-1,D9+F9&gt;0,E9&lt;1),(D9+F9)/(1-E9)*G9/(1+G9),"none"),"")</f>
        <v/>
      </c>
      <c r="N9" s="2" t="str">
        <f aca="false">IF(AND(ISNUMBER(B9),ISNUMBER(G9),ISNUMBER(H9)),IF(ISNUMBER(M9),IF(M9&gt;B9,"up",IF(M9&lt;B9,"down","hold")),IF(G9&gt;=-1,"up",IF(AND(L9="yes",D9+F9&gt;0,E9&lt;1),IF((D9+F9)/(1-E9)*G9/(1+G9)&gt;B9,"up","hold"),"hold"))),"")</f>
        <v/>
      </c>
      <c r="O9" s="14" t="str">
        <f aca="false">IF(AND(ISNUMBER(B9),ISNUMBER(G9),ISNUMBER(H9)),ROUND(IF(N9="up",B9*(1+MIN(0.05,IF(ISNUMBER(M9),M9/B9-1,0.05))),IF(N9="down",B9*(1-MIN(0.05,1-M9/B9)),B9)),2),"")</f>
        <v/>
      </c>
      <c r="P9" s="25" t="str">
        <f aca="false">IF(AND(ISNUMBER(B9),ISNUMBER(G9),ISNUMBER(H9)),C9*(O9/B9)^G9*(O9*(1-E9)-D9-F9)-C9*K9,"")</f>
        <v/>
      </c>
      <c r="Q9" s="13" t="str">
        <f aca="false">IF(ISNUMBER(P9),RANK(P9,$P$5:$P$54),"")</f>
        <v/>
      </c>
    </row>
    <row r="10" customFormat="false" ht="15" hidden="false" customHeight="false" outlineLevel="0" collapsed="false">
      <c r="A10" s="6"/>
      <c r="B10" s="9"/>
      <c r="C10" s="8"/>
      <c r="D10" s="9"/>
      <c r="E10" s="21"/>
      <c r="F10" s="9"/>
      <c r="G10" s="22"/>
      <c r="H10" s="22"/>
      <c r="I10" s="22"/>
      <c r="J10" s="22"/>
      <c r="K10" s="14" t="str">
        <f aca="false">IF(AND(ISNUMBER(B10),ISNUMBER(G10),ISNUMBER(H10)),B10*(1-E10)-D10-F10,"")</f>
        <v/>
      </c>
      <c r="L10" s="2" t="str">
        <f aca="false">IF(AND(ISNUMBER(B10),ISNUMBER(G10),ISNUMBER(H10)),IF(OR(AND(I10&lt;=-1,J10&gt;=-1),ABS(1+G10)&lt;2*H10,AND(G10&lt;-1,H10/ABS(G10*(1+G10))&gt;0.5)),"yes","no"),"")</f>
        <v/>
      </c>
      <c r="M10" s="14" t="str">
        <f aca="false">IF(AND(ISNUMBER(B10),ISNUMBER(G10),ISNUMBER(H10)),IF(AND(L10="no",G10&lt;-1,D10+F10&gt;0,E10&lt;1),(D10+F10)/(1-E10)*G10/(1+G10),"none"),"")</f>
        <v/>
      </c>
      <c r="N10" s="2" t="str">
        <f aca="false">IF(AND(ISNUMBER(B10),ISNUMBER(G10),ISNUMBER(H10)),IF(ISNUMBER(M10),IF(M10&gt;B10,"up",IF(M10&lt;B10,"down","hold")),IF(G10&gt;=-1,"up",IF(AND(L10="yes",D10+F10&gt;0,E10&lt;1),IF((D10+F10)/(1-E10)*G10/(1+G10)&gt;B10,"up","hold"),"hold"))),"")</f>
        <v/>
      </c>
      <c r="O10" s="14" t="str">
        <f aca="false">IF(AND(ISNUMBER(B10),ISNUMBER(G10),ISNUMBER(H10)),ROUND(IF(N10="up",B10*(1+MIN(0.05,IF(ISNUMBER(M10),M10/B10-1,0.05))),IF(N10="down",B10*(1-MIN(0.05,1-M10/B10)),B10)),2),"")</f>
        <v/>
      </c>
      <c r="P10" s="25" t="str">
        <f aca="false">IF(AND(ISNUMBER(B10),ISNUMBER(G10),ISNUMBER(H10)),C10*(O10/B10)^G10*(O10*(1-E10)-D10-F10)-C10*K10,"")</f>
        <v/>
      </c>
      <c r="Q10" s="13" t="str">
        <f aca="false">IF(ISNUMBER(P10),RANK(P10,$P$5:$P$54),"")</f>
        <v/>
      </c>
    </row>
    <row r="11" customFormat="false" ht="15" hidden="false" customHeight="false" outlineLevel="0" collapsed="false">
      <c r="A11" s="6"/>
      <c r="B11" s="9"/>
      <c r="C11" s="8"/>
      <c r="D11" s="9"/>
      <c r="E11" s="21"/>
      <c r="F11" s="9"/>
      <c r="G11" s="22"/>
      <c r="H11" s="22"/>
      <c r="I11" s="22"/>
      <c r="J11" s="22"/>
      <c r="K11" s="14" t="str">
        <f aca="false">IF(AND(ISNUMBER(B11),ISNUMBER(G11),ISNUMBER(H11)),B11*(1-E11)-D11-F11,"")</f>
        <v/>
      </c>
      <c r="L11" s="2" t="str">
        <f aca="false">IF(AND(ISNUMBER(B11),ISNUMBER(G11),ISNUMBER(H11)),IF(OR(AND(I11&lt;=-1,J11&gt;=-1),ABS(1+G11)&lt;2*H11,AND(G11&lt;-1,H11/ABS(G11*(1+G11))&gt;0.5)),"yes","no"),"")</f>
        <v/>
      </c>
      <c r="M11" s="14" t="str">
        <f aca="false">IF(AND(ISNUMBER(B11),ISNUMBER(G11),ISNUMBER(H11)),IF(AND(L11="no",G11&lt;-1,D11+F11&gt;0,E11&lt;1),(D11+F11)/(1-E11)*G11/(1+G11),"none"),"")</f>
        <v/>
      </c>
      <c r="N11" s="2" t="str">
        <f aca="false">IF(AND(ISNUMBER(B11),ISNUMBER(G11),ISNUMBER(H11)),IF(ISNUMBER(M11),IF(M11&gt;B11,"up",IF(M11&lt;B11,"down","hold")),IF(G11&gt;=-1,"up",IF(AND(L11="yes",D11+F11&gt;0,E11&lt;1),IF((D11+F11)/(1-E11)*G11/(1+G11)&gt;B11,"up","hold"),"hold"))),"")</f>
        <v/>
      </c>
      <c r="O11" s="14" t="str">
        <f aca="false">IF(AND(ISNUMBER(B11),ISNUMBER(G11),ISNUMBER(H11)),ROUND(IF(N11="up",B11*(1+MIN(0.05,IF(ISNUMBER(M11),M11/B11-1,0.05))),IF(N11="down",B11*(1-MIN(0.05,1-M11/B11)),B11)),2),"")</f>
        <v/>
      </c>
      <c r="P11" s="25" t="str">
        <f aca="false">IF(AND(ISNUMBER(B11),ISNUMBER(G11),ISNUMBER(H11)),C11*(O11/B11)^G11*(O11*(1-E11)-D11-F11)-C11*K11,"")</f>
        <v/>
      </c>
      <c r="Q11" s="13" t="str">
        <f aca="false">IF(ISNUMBER(P11),RANK(P11,$P$5:$P$54),"")</f>
        <v/>
      </c>
    </row>
    <row r="12" customFormat="false" ht="15" hidden="false" customHeight="false" outlineLevel="0" collapsed="false">
      <c r="A12" s="6"/>
      <c r="B12" s="9"/>
      <c r="C12" s="8"/>
      <c r="D12" s="9"/>
      <c r="E12" s="21"/>
      <c r="F12" s="9"/>
      <c r="G12" s="22"/>
      <c r="H12" s="22"/>
      <c r="I12" s="22"/>
      <c r="J12" s="22"/>
      <c r="K12" s="14" t="str">
        <f aca="false">IF(AND(ISNUMBER(B12),ISNUMBER(G12),ISNUMBER(H12)),B12*(1-E12)-D12-F12,"")</f>
        <v/>
      </c>
      <c r="L12" s="2" t="str">
        <f aca="false">IF(AND(ISNUMBER(B12),ISNUMBER(G12),ISNUMBER(H12)),IF(OR(AND(I12&lt;=-1,J12&gt;=-1),ABS(1+G12)&lt;2*H12,AND(G12&lt;-1,H12/ABS(G12*(1+G12))&gt;0.5)),"yes","no"),"")</f>
        <v/>
      </c>
      <c r="M12" s="14" t="str">
        <f aca="false">IF(AND(ISNUMBER(B12),ISNUMBER(G12),ISNUMBER(H12)),IF(AND(L12="no",G12&lt;-1,D12+F12&gt;0,E12&lt;1),(D12+F12)/(1-E12)*G12/(1+G12),"none"),"")</f>
        <v/>
      </c>
      <c r="N12" s="2" t="str">
        <f aca="false">IF(AND(ISNUMBER(B12),ISNUMBER(G12),ISNUMBER(H12)),IF(ISNUMBER(M12),IF(M12&gt;B12,"up",IF(M12&lt;B12,"down","hold")),IF(G12&gt;=-1,"up",IF(AND(L12="yes",D12+F12&gt;0,E12&lt;1),IF((D12+F12)/(1-E12)*G12/(1+G12)&gt;B12,"up","hold"),"hold"))),"")</f>
        <v/>
      </c>
      <c r="O12" s="14" t="str">
        <f aca="false">IF(AND(ISNUMBER(B12),ISNUMBER(G12),ISNUMBER(H12)),ROUND(IF(N12="up",B12*(1+MIN(0.05,IF(ISNUMBER(M12),M12/B12-1,0.05))),IF(N12="down",B12*(1-MIN(0.05,1-M12/B12)),B12)),2),"")</f>
        <v/>
      </c>
      <c r="P12" s="25" t="str">
        <f aca="false">IF(AND(ISNUMBER(B12),ISNUMBER(G12),ISNUMBER(H12)),C12*(O12/B12)^G12*(O12*(1-E12)-D12-F12)-C12*K12,"")</f>
        <v/>
      </c>
      <c r="Q12" s="13" t="str">
        <f aca="false">IF(ISNUMBER(P12),RANK(P12,$P$5:$P$54),"")</f>
        <v/>
      </c>
    </row>
    <row r="13" customFormat="false" ht="15" hidden="false" customHeight="false" outlineLevel="0" collapsed="false">
      <c r="A13" s="6"/>
      <c r="B13" s="9"/>
      <c r="C13" s="8"/>
      <c r="D13" s="9"/>
      <c r="E13" s="21"/>
      <c r="F13" s="9"/>
      <c r="G13" s="22"/>
      <c r="H13" s="22"/>
      <c r="I13" s="22"/>
      <c r="J13" s="22"/>
      <c r="K13" s="14" t="str">
        <f aca="false">IF(AND(ISNUMBER(B13),ISNUMBER(G13),ISNUMBER(H13)),B13*(1-E13)-D13-F13,"")</f>
        <v/>
      </c>
      <c r="L13" s="2" t="str">
        <f aca="false">IF(AND(ISNUMBER(B13),ISNUMBER(G13),ISNUMBER(H13)),IF(OR(AND(I13&lt;=-1,J13&gt;=-1),ABS(1+G13)&lt;2*H13,AND(G13&lt;-1,H13/ABS(G13*(1+G13))&gt;0.5)),"yes","no"),"")</f>
        <v/>
      </c>
      <c r="M13" s="14" t="str">
        <f aca="false">IF(AND(ISNUMBER(B13),ISNUMBER(G13),ISNUMBER(H13)),IF(AND(L13="no",G13&lt;-1,D13+F13&gt;0,E13&lt;1),(D13+F13)/(1-E13)*G13/(1+G13),"none"),"")</f>
        <v/>
      </c>
      <c r="N13" s="2" t="str">
        <f aca="false">IF(AND(ISNUMBER(B13),ISNUMBER(G13),ISNUMBER(H13)),IF(ISNUMBER(M13),IF(M13&gt;B13,"up",IF(M13&lt;B13,"down","hold")),IF(G13&gt;=-1,"up",IF(AND(L13="yes",D13+F13&gt;0,E13&lt;1),IF((D13+F13)/(1-E13)*G13/(1+G13)&gt;B13,"up","hold"),"hold"))),"")</f>
        <v/>
      </c>
      <c r="O13" s="14" t="str">
        <f aca="false">IF(AND(ISNUMBER(B13),ISNUMBER(G13),ISNUMBER(H13)),ROUND(IF(N13="up",B13*(1+MIN(0.05,IF(ISNUMBER(M13),M13/B13-1,0.05))),IF(N13="down",B13*(1-MIN(0.05,1-M13/B13)),B13)),2),"")</f>
        <v/>
      </c>
      <c r="P13" s="25" t="str">
        <f aca="false">IF(AND(ISNUMBER(B13),ISNUMBER(G13),ISNUMBER(H13)),C13*(O13/B13)^G13*(O13*(1-E13)-D13-F13)-C13*K13,"")</f>
        <v/>
      </c>
      <c r="Q13" s="13" t="str">
        <f aca="false">IF(ISNUMBER(P13),RANK(P13,$P$5:$P$54),"")</f>
        <v/>
      </c>
    </row>
    <row r="14" customFormat="false" ht="15" hidden="false" customHeight="false" outlineLevel="0" collapsed="false">
      <c r="A14" s="6"/>
      <c r="B14" s="9"/>
      <c r="C14" s="8"/>
      <c r="D14" s="9"/>
      <c r="E14" s="21"/>
      <c r="F14" s="9"/>
      <c r="G14" s="22"/>
      <c r="H14" s="22"/>
      <c r="I14" s="22"/>
      <c r="J14" s="22"/>
      <c r="K14" s="14" t="str">
        <f aca="false">IF(AND(ISNUMBER(B14),ISNUMBER(G14),ISNUMBER(H14)),B14*(1-E14)-D14-F14,"")</f>
        <v/>
      </c>
      <c r="L14" s="2" t="str">
        <f aca="false">IF(AND(ISNUMBER(B14),ISNUMBER(G14),ISNUMBER(H14)),IF(OR(AND(I14&lt;=-1,J14&gt;=-1),ABS(1+G14)&lt;2*H14,AND(G14&lt;-1,H14/ABS(G14*(1+G14))&gt;0.5)),"yes","no"),"")</f>
        <v/>
      </c>
      <c r="M14" s="14" t="str">
        <f aca="false">IF(AND(ISNUMBER(B14),ISNUMBER(G14),ISNUMBER(H14)),IF(AND(L14="no",G14&lt;-1,D14+F14&gt;0,E14&lt;1),(D14+F14)/(1-E14)*G14/(1+G14),"none"),"")</f>
        <v/>
      </c>
      <c r="N14" s="2" t="str">
        <f aca="false">IF(AND(ISNUMBER(B14),ISNUMBER(G14),ISNUMBER(H14)),IF(ISNUMBER(M14),IF(M14&gt;B14,"up",IF(M14&lt;B14,"down","hold")),IF(G14&gt;=-1,"up",IF(AND(L14="yes",D14+F14&gt;0,E14&lt;1),IF((D14+F14)/(1-E14)*G14/(1+G14)&gt;B14,"up","hold"),"hold"))),"")</f>
        <v/>
      </c>
      <c r="O14" s="14" t="str">
        <f aca="false">IF(AND(ISNUMBER(B14),ISNUMBER(G14),ISNUMBER(H14)),ROUND(IF(N14="up",B14*(1+MIN(0.05,IF(ISNUMBER(M14),M14/B14-1,0.05))),IF(N14="down",B14*(1-MIN(0.05,1-M14/B14)),B14)),2),"")</f>
        <v/>
      </c>
      <c r="P14" s="25" t="str">
        <f aca="false">IF(AND(ISNUMBER(B14),ISNUMBER(G14),ISNUMBER(H14)),C14*(O14/B14)^G14*(O14*(1-E14)-D14-F14)-C14*K14,"")</f>
        <v/>
      </c>
      <c r="Q14" s="13" t="str">
        <f aca="false">IF(ISNUMBER(P14),RANK(P14,$P$5:$P$54),"")</f>
        <v/>
      </c>
    </row>
    <row r="15" customFormat="false" ht="15" hidden="false" customHeight="false" outlineLevel="0" collapsed="false">
      <c r="A15" s="6"/>
      <c r="B15" s="9"/>
      <c r="C15" s="8"/>
      <c r="D15" s="9"/>
      <c r="E15" s="21"/>
      <c r="F15" s="9"/>
      <c r="G15" s="22"/>
      <c r="H15" s="22"/>
      <c r="I15" s="22"/>
      <c r="J15" s="22"/>
      <c r="K15" s="14" t="str">
        <f aca="false">IF(AND(ISNUMBER(B15),ISNUMBER(G15),ISNUMBER(H15)),B15*(1-E15)-D15-F15,"")</f>
        <v/>
      </c>
      <c r="L15" s="2" t="str">
        <f aca="false">IF(AND(ISNUMBER(B15),ISNUMBER(G15),ISNUMBER(H15)),IF(OR(AND(I15&lt;=-1,J15&gt;=-1),ABS(1+G15)&lt;2*H15,AND(G15&lt;-1,H15/ABS(G15*(1+G15))&gt;0.5)),"yes","no"),"")</f>
        <v/>
      </c>
      <c r="M15" s="14" t="str">
        <f aca="false">IF(AND(ISNUMBER(B15),ISNUMBER(G15),ISNUMBER(H15)),IF(AND(L15="no",G15&lt;-1,D15+F15&gt;0,E15&lt;1),(D15+F15)/(1-E15)*G15/(1+G15),"none"),"")</f>
        <v/>
      </c>
      <c r="N15" s="2" t="str">
        <f aca="false">IF(AND(ISNUMBER(B15),ISNUMBER(G15),ISNUMBER(H15)),IF(ISNUMBER(M15),IF(M15&gt;B15,"up",IF(M15&lt;B15,"down","hold")),IF(G15&gt;=-1,"up",IF(AND(L15="yes",D15+F15&gt;0,E15&lt;1),IF((D15+F15)/(1-E15)*G15/(1+G15)&gt;B15,"up","hold"),"hold"))),"")</f>
        <v/>
      </c>
      <c r="O15" s="14" t="str">
        <f aca="false">IF(AND(ISNUMBER(B15),ISNUMBER(G15),ISNUMBER(H15)),ROUND(IF(N15="up",B15*(1+MIN(0.05,IF(ISNUMBER(M15),M15/B15-1,0.05))),IF(N15="down",B15*(1-MIN(0.05,1-M15/B15)),B15)),2),"")</f>
        <v/>
      </c>
      <c r="P15" s="25" t="str">
        <f aca="false">IF(AND(ISNUMBER(B15),ISNUMBER(G15),ISNUMBER(H15)),C15*(O15/B15)^G15*(O15*(1-E15)-D15-F15)-C15*K15,"")</f>
        <v/>
      </c>
      <c r="Q15" s="13" t="str">
        <f aca="false">IF(ISNUMBER(P15),RANK(P15,$P$5:$P$54),"")</f>
        <v/>
      </c>
    </row>
    <row r="16" customFormat="false" ht="15" hidden="false" customHeight="false" outlineLevel="0" collapsed="false">
      <c r="A16" s="6"/>
      <c r="B16" s="9"/>
      <c r="C16" s="8"/>
      <c r="D16" s="9"/>
      <c r="E16" s="21"/>
      <c r="F16" s="9"/>
      <c r="G16" s="22"/>
      <c r="H16" s="22"/>
      <c r="I16" s="22"/>
      <c r="J16" s="22"/>
      <c r="K16" s="14" t="str">
        <f aca="false">IF(AND(ISNUMBER(B16),ISNUMBER(G16),ISNUMBER(H16)),B16*(1-E16)-D16-F16,"")</f>
        <v/>
      </c>
      <c r="L16" s="2" t="str">
        <f aca="false">IF(AND(ISNUMBER(B16),ISNUMBER(G16),ISNUMBER(H16)),IF(OR(AND(I16&lt;=-1,J16&gt;=-1),ABS(1+G16)&lt;2*H16,AND(G16&lt;-1,H16/ABS(G16*(1+G16))&gt;0.5)),"yes","no"),"")</f>
        <v/>
      </c>
      <c r="M16" s="14" t="str">
        <f aca="false">IF(AND(ISNUMBER(B16),ISNUMBER(G16),ISNUMBER(H16)),IF(AND(L16="no",G16&lt;-1,D16+F16&gt;0,E16&lt;1),(D16+F16)/(1-E16)*G16/(1+G16),"none"),"")</f>
        <v/>
      </c>
      <c r="N16" s="2" t="str">
        <f aca="false">IF(AND(ISNUMBER(B16),ISNUMBER(G16),ISNUMBER(H16)),IF(ISNUMBER(M16),IF(M16&gt;B16,"up",IF(M16&lt;B16,"down","hold")),IF(G16&gt;=-1,"up",IF(AND(L16="yes",D16+F16&gt;0,E16&lt;1),IF((D16+F16)/(1-E16)*G16/(1+G16)&gt;B16,"up","hold"),"hold"))),"")</f>
        <v/>
      </c>
      <c r="O16" s="14" t="str">
        <f aca="false">IF(AND(ISNUMBER(B16),ISNUMBER(G16),ISNUMBER(H16)),ROUND(IF(N16="up",B16*(1+MIN(0.05,IF(ISNUMBER(M16),M16/B16-1,0.05))),IF(N16="down",B16*(1-MIN(0.05,1-M16/B16)),B16)),2),"")</f>
        <v/>
      </c>
      <c r="P16" s="25" t="str">
        <f aca="false">IF(AND(ISNUMBER(B16),ISNUMBER(G16),ISNUMBER(H16)),C16*(O16/B16)^G16*(O16*(1-E16)-D16-F16)-C16*K16,"")</f>
        <v/>
      </c>
      <c r="Q16" s="13" t="str">
        <f aca="false">IF(ISNUMBER(P16),RANK(P16,$P$5:$P$54),"")</f>
        <v/>
      </c>
    </row>
    <row r="17" customFormat="false" ht="15" hidden="false" customHeight="false" outlineLevel="0" collapsed="false">
      <c r="A17" s="6"/>
      <c r="B17" s="9"/>
      <c r="C17" s="8"/>
      <c r="D17" s="9"/>
      <c r="E17" s="21"/>
      <c r="F17" s="9"/>
      <c r="G17" s="22"/>
      <c r="H17" s="22"/>
      <c r="I17" s="22"/>
      <c r="J17" s="22"/>
      <c r="K17" s="14" t="str">
        <f aca="false">IF(AND(ISNUMBER(B17),ISNUMBER(G17),ISNUMBER(H17)),B17*(1-E17)-D17-F17,"")</f>
        <v/>
      </c>
      <c r="L17" s="2" t="str">
        <f aca="false">IF(AND(ISNUMBER(B17),ISNUMBER(G17),ISNUMBER(H17)),IF(OR(AND(I17&lt;=-1,J17&gt;=-1),ABS(1+G17)&lt;2*H17,AND(G17&lt;-1,H17/ABS(G17*(1+G17))&gt;0.5)),"yes","no"),"")</f>
        <v/>
      </c>
      <c r="M17" s="14" t="str">
        <f aca="false">IF(AND(ISNUMBER(B17),ISNUMBER(G17),ISNUMBER(H17)),IF(AND(L17="no",G17&lt;-1,D17+F17&gt;0,E17&lt;1),(D17+F17)/(1-E17)*G17/(1+G17),"none"),"")</f>
        <v/>
      </c>
      <c r="N17" s="2" t="str">
        <f aca="false">IF(AND(ISNUMBER(B17),ISNUMBER(G17),ISNUMBER(H17)),IF(ISNUMBER(M17),IF(M17&gt;B17,"up",IF(M17&lt;B17,"down","hold")),IF(G17&gt;=-1,"up",IF(AND(L17="yes",D17+F17&gt;0,E17&lt;1),IF((D17+F17)/(1-E17)*G17/(1+G17)&gt;B17,"up","hold"),"hold"))),"")</f>
        <v/>
      </c>
      <c r="O17" s="14" t="str">
        <f aca="false">IF(AND(ISNUMBER(B17),ISNUMBER(G17),ISNUMBER(H17)),ROUND(IF(N17="up",B17*(1+MIN(0.05,IF(ISNUMBER(M17),M17/B17-1,0.05))),IF(N17="down",B17*(1-MIN(0.05,1-M17/B17)),B17)),2),"")</f>
        <v/>
      </c>
      <c r="P17" s="25" t="str">
        <f aca="false">IF(AND(ISNUMBER(B17),ISNUMBER(G17),ISNUMBER(H17)),C17*(O17/B17)^G17*(O17*(1-E17)-D17-F17)-C17*K17,"")</f>
        <v/>
      </c>
      <c r="Q17" s="13" t="str">
        <f aca="false">IF(ISNUMBER(P17),RANK(P17,$P$5:$P$54),"")</f>
        <v/>
      </c>
    </row>
    <row r="18" customFormat="false" ht="15" hidden="false" customHeight="false" outlineLevel="0" collapsed="false">
      <c r="A18" s="6"/>
      <c r="B18" s="9"/>
      <c r="C18" s="8"/>
      <c r="D18" s="9"/>
      <c r="E18" s="21"/>
      <c r="F18" s="9"/>
      <c r="G18" s="22"/>
      <c r="H18" s="22"/>
      <c r="I18" s="22"/>
      <c r="J18" s="22"/>
      <c r="K18" s="14" t="str">
        <f aca="false">IF(AND(ISNUMBER(B18),ISNUMBER(G18),ISNUMBER(H18)),B18*(1-E18)-D18-F18,"")</f>
        <v/>
      </c>
      <c r="L18" s="2" t="str">
        <f aca="false">IF(AND(ISNUMBER(B18),ISNUMBER(G18),ISNUMBER(H18)),IF(OR(AND(I18&lt;=-1,J18&gt;=-1),ABS(1+G18)&lt;2*H18,AND(G18&lt;-1,H18/ABS(G18*(1+G18))&gt;0.5)),"yes","no"),"")</f>
        <v/>
      </c>
      <c r="M18" s="14" t="str">
        <f aca="false">IF(AND(ISNUMBER(B18),ISNUMBER(G18),ISNUMBER(H18)),IF(AND(L18="no",G18&lt;-1,D18+F18&gt;0,E18&lt;1),(D18+F18)/(1-E18)*G18/(1+G18),"none"),"")</f>
        <v/>
      </c>
      <c r="N18" s="2" t="str">
        <f aca="false">IF(AND(ISNUMBER(B18),ISNUMBER(G18),ISNUMBER(H18)),IF(ISNUMBER(M18),IF(M18&gt;B18,"up",IF(M18&lt;B18,"down","hold")),IF(G18&gt;=-1,"up",IF(AND(L18="yes",D18+F18&gt;0,E18&lt;1),IF((D18+F18)/(1-E18)*G18/(1+G18)&gt;B18,"up","hold"),"hold"))),"")</f>
        <v/>
      </c>
      <c r="O18" s="14" t="str">
        <f aca="false">IF(AND(ISNUMBER(B18),ISNUMBER(G18),ISNUMBER(H18)),ROUND(IF(N18="up",B18*(1+MIN(0.05,IF(ISNUMBER(M18),M18/B18-1,0.05))),IF(N18="down",B18*(1-MIN(0.05,1-M18/B18)),B18)),2),"")</f>
        <v/>
      </c>
      <c r="P18" s="25" t="str">
        <f aca="false">IF(AND(ISNUMBER(B18),ISNUMBER(G18),ISNUMBER(H18)),C18*(O18/B18)^G18*(O18*(1-E18)-D18-F18)-C18*K18,"")</f>
        <v/>
      </c>
      <c r="Q18" s="13" t="str">
        <f aca="false">IF(ISNUMBER(P18),RANK(P18,$P$5:$P$54),"")</f>
        <v/>
      </c>
    </row>
    <row r="19" customFormat="false" ht="15" hidden="false" customHeight="false" outlineLevel="0" collapsed="false">
      <c r="A19" s="6"/>
      <c r="B19" s="9"/>
      <c r="C19" s="8"/>
      <c r="D19" s="9"/>
      <c r="E19" s="21"/>
      <c r="F19" s="9"/>
      <c r="G19" s="22"/>
      <c r="H19" s="22"/>
      <c r="I19" s="22"/>
      <c r="J19" s="22"/>
      <c r="K19" s="14" t="str">
        <f aca="false">IF(AND(ISNUMBER(B19),ISNUMBER(G19),ISNUMBER(H19)),B19*(1-E19)-D19-F19,"")</f>
        <v/>
      </c>
      <c r="L19" s="2" t="str">
        <f aca="false">IF(AND(ISNUMBER(B19),ISNUMBER(G19),ISNUMBER(H19)),IF(OR(AND(I19&lt;=-1,J19&gt;=-1),ABS(1+G19)&lt;2*H19,AND(G19&lt;-1,H19/ABS(G19*(1+G19))&gt;0.5)),"yes","no"),"")</f>
        <v/>
      </c>
      <c r="M19" s="14" t="str">
        <f aca="false">IF(AND(ISNUMBER(B19),ISNUMBER(G19),ISNUMBER(H19)),IF(AND(L19="no",G19&lt;-1,D19+F19&gt;0,E19&lt;1),(D19+F19)/(1-E19)*G19/(1+G19),"none"),"")</f>
        <v/>
      </c>
      <c r="N19" s="2" t="str">
        <f aca="false">IF(AND(ISNUMBER(B19),ISNUMBER(G19),ISNUMBER(H19)),IF(ISNUMBER(M19),IF(M19&gt;B19,"up",IF(M19&lt;B19,"down","hold")),IF(G19&gt;=-1,"up",IF(AND(L19="yes",D19+F19&gt;0,E19&lt;1),IF((D19+F19)/(1-E19)*G19/(1+G19)&gt;B19,"up","hold"),"hold"))),"")</f>
        <v/>
      </c>
      <c r="O19" s="14" t="str">
        <f aca="false">IF(AND(ISNUMBER(B19),ISNUMBER(G19),ISNUMBER(H19)),ROUND(IF(N19="up",B19*(1+MIN(0.05,IF(ISNUMBER(M19),M19/B19-1,0.05))),IF(N19="down",B19*(1-MIN(0.05,1-M19/B19)),B19)),2),"")</f>
        <v/>
      </c>
      <c r="P19" s="25" t="str">
        <f aca="false">IF(AND(ISNUMBER(B19),ISNUMBER(G19),ISNUMBER(H19)),C19*(O19/B19)^G19*(O19*(1-E19)-D19-F19)-C19*K19,"")</f>
        <v/>
      </c>
      <c r="Q19" s="13" t="str">
        <f aca="false">IF(ISNUMBER(P19),RANK(P19,$P$5:$P$54),"")</f>
        <v/>
      </c>
    </row>
    <row r="20" customFormat="false" ht="15" hidden="false" customHeight="false" outlineLevel="0" collapsed="false">
      <c r="A20" s="6"/>
      <c r="B20" s="9"/>
      <c r="C20" s="8"/>
      <c r="D20" s="9"/>
      <c r="E20" s="21"/>
      <c r="F20" s="9"/>
      <c r="G20" s="22"/>
      <c r="H20" s="22"/>
      <c r="I20" s="22"/>
      <c r="J20" s="22"/>
      <c r="K20" s="14" t="str">
        <f aca="false">IF(AND(ISNUMBER(B20),ISNUMBER(G20),ISNUMBER(H20)),B20*(1-E20)-D20-F20,"")</f>
        <v/>
      </c>
      <c r="L20" s="2" t="str">
        <f aca="false">IF(AND(ISNUMBER(B20),ISNUMBER(G20),ISNUMBER(H20)),IF(OR(AND(I20&lt;=-1,J20&gt;=-1),ABS(1+G20)&lt;2*H20,AND(G20&lt;-1,H20/ABS(G20*(1+G20))&gt;0.5)),"yes","no"),"")</f>
        <v/>
      </c>
      <c r="M20" s="14" t="str">
        <f aca="false">IF(AND(ISNUMBER(B20),ISNUMBER(G20),ISNUMBER(H20)),IF(AND(L20="no",G20&lt;-1,D20+F20&gt;0,E20&lt;1),(D20+F20)/(1-E20)*G20/(1+G20),"none"),"")</f>
        <v/>
      </c>
      <c r="N20" s="2" t="str">
        <f aca="false">IF(AND(ISNUMBER(B20),ISNUMBER(G20),ISNUMBER(H20)),IF(ISNUMBER(M20),IF(M20&gt;B20,"up",IF(M20&lt;B20,"down","hold")),IF(G20&gt;=-1,"up",IF(AND(L20="yes",D20+F20&gt;0,E20&lt;1),IF((D20+F20)/(1-E20)*G20/(1+G20)&gt;B20,"up","hold"),"hold"))),"")</f>
        <v/>
      </c>
      <c r="O20" s="14" t="str">
        <f aca="false">IF(AND(ISNUMBER(B20),ISNUMBER(G20),ISNUMBER(H20)),ROUND(IF(N20="up",B20*(1+MIN(0.05,IF(ISNUMBER(M20),M20/B20-1,0.05))),IF(N20="down",B20*(1-MIN(0.05,1-M20/B20)),B20)),2),"")</f>
        <v/>
      </c>
      <c r="P20" s="25" t="str">
        <f aca="false">IF(AND(ISNUMBER(B20),ISNUMBER(G20),ISNUMBER(H20)),C20*(O20/B20)^G20*(O20*(1-E20)-D20-F20)-C20*K20,"")</f>
        <v/>
      </c>
      <c r="Q20" s="13" t="str">
        <f aca="false">IF(ISNUMBER(P20),RANK(P20,$P$5:$P$54),"")</f>
        <v/>
      </c>
    </row>
    <row r="21" customFormat="false" ht="15" hidden="false" customHeight="false" outlineLevel="0" collapsed="false">
      <c r="A21" s="6"/>
      <c r="B21" s="9"/>
      <c r="C21" s="8"/>
      <c r="D21" s="9"/>
      <c r="E21" s="21"/>
      <c r="F21" s="9"/>
      <c r="G21" s="22"/>
      <c r="H21" s="22"/>
      <c r="I21" s="22"/>
      <c r="J21" s="22"/>
      <c r="K21" s="14" t="str">
        <f aca="false">IF(AND(ISNUMBER(B21),ISNUMBER(G21),ISNUMBER(H21)),B21*(1-E21)-D21-F21,"")</f>
        <v/>
      </c>
      <c r="L21" s="2" t="str">
        <f aca="false">IF(AND(ISNUMBER(B21),ISNUMBER(G21),ISNUMBER(H21)),IF(OR(AND(I21&lt;=-1,J21&gt;=-1),ABS(1+G21)&lt;2*H21,AND(G21&lt;-1,H21/ABS(G21*(1+G21))&gt;0.5)),"yes","no"),"")</f>
        <v/>
      </c>
      <c r="M21" s="14" t="str">
        <f aca="false">IF(AND(ISNUMBER(B21),ISNUMBER(G21),ISNUMBER(H21)),IF(AND(L21="no",G21&lt;-1,D21+F21&gt;0,E21&lt;1),(D21+F21)/(1-E21)*G21/(1+G21),"none"),"")</f>
        <v/>
      </c>
      <c r="N21" s="2" t="str">
        <f aca="false">IF(AND(ISNUMBER(B21),ISNUMBER(G21),ISNUMBER(H21)),IF(ISNUMBER(M21),IF(M21&gt;B21,"up",IF(M21&lt;B21,"down","hold")),IF(G21&gt;=-1,"up",IF(AND(L21="yes",D21+F21&gt;0,E21&lt;1),IF((D21+F21)/(1-E21)*G21/(1+G21)&gt;B21,"up","hold"),"hold"))),"")</f>
        <v/>
      </c>
      <c r="O21" s="14" t="str">
        <f aca="false">IF(AND(ISNUMBER(B21),ISNUMBER(G21),ISNUMBER(H21)),ROUND(IF(N21="up",B21*(1+MIN(0.05,IF(ISNUMBER(M21),M21/B21-1,0.05))),IF(N21="down",B21*(1-MIN(0.05,1-M21/B21)),B21)),2),"")</f>
        <v/>
      </c>
      <c r="P21" s="25" t="str">
        <f aca="false">IF(AND(ISNUMBER(B21),ISNUMBER(G21),ISNUMBER(H21)),C21*(O21/B21)^G21*(O21*(1-E21)-D21-F21)-C21*K21,"")</f>
        <v/>
      </c>
      <c r="Q21" s="13" t="str">
        <f aca="false">IF(ISNUMBER(P21),RANK(P21,$P$5:$P$54),"")</f>
        <v/>
      </c>
    </row>
    <row r="22" customFormat="false" ht="15" hidden="false" customHeight="false" outlineLevel="0" collapsed="false">
      <c r="A22" s="6"/>
      <c r="B22" s="9"/>
      <c r="C22" s="8"/>
      <c r="D22" s="9"/>
      <c r="E22" s="21"/>
      <c r="F22" s="9"/>
      <c r="G22" s="22"/>
      <c r="H22" s="22"/>
      <c r="I22" s="22"/>
      <c r="J22" s="22"/>
      <c r="K22" s="14" t="str">
        <f aca="false">IF(AND(ISNUMBER(B22),ISNUMBER(G22),ISNUMBER(H22)),B22*(1-E22)-D22-F22,"")</f>
        <v/>
      </c>
      <c r="L22" s="2" t="str">
        <f aca="false">IF(AND(ISNUMBER(B22),ISNUMBER(G22),ISNUMBER(H22)),IF(OR(AND(I22&lt;=-1,J22&gt;=-1),ABS(1+G22)&lt;2*H22,AND(G22&lt;-1,H22/ABS(G22*(1+G22))&gt;0.5)),"yes","no"),"")</f>
        <v/>
      </c>
      <c r="M22" s="14" t="str">
        <f aca="false">IF(AND(ISNUMBER(B22),ISNUMBER(G22),ISNUMBER(H22)),IF(AND(L22="no",G22&lt;-1,D22+F22&gt;0,E22&lt;1),(D22+F22)/(1-E22)*G22/(1+G22),"none"),"")</f>
        <v/>
      </c>
      <c r="N22" s="2" t="str">
        <f aca="false">IF(AND(ISNUMBER(B22),ISNUMBER(G22),ISNUMBER(H22)),IF(ISNUMBER(M22),IF(M22&gt;B22,"up",IF(M22&lt;B22,"down","hold")),IF(G22&gt;=-1,"up",IF(AND(L22="yes",D22+F22&gt;0,E22&lt;1),IF((D22+F22)/(1-E22)*G22/(1+G22)&gt;B22,"up","hold"),"hold"))),"")</f>
        <v/>
      </c>
      <c r="O22" s="14" t="str">
        <f aca="false">IF(AND(ISNUMBER(B22),ISNUMBER(G22),ISNUMBER(H22)),ROUND(IF(N22="up",B22*(1+MIN(0.05,IF(ISNUMBER(M22),M22/B22-1,0.05))),IF(N22="down",B22*(1-MIN(0.05,1-M22/B22)),B22)),2),"")</f>
        <v/>
      </c>
      <c r="P22" s="25" t="str">
        <f aca="false">IF(AND(ISNUMBER(B22),ISNUMBER(G22),ISNUMBER(H22)),C22*(O22/B22)^G22*(O22*(1-E22)-D22-F22)-C22*K22,"")</f>
        <v/>
      </c>
      <c r="Q22" s="13" t="str">
        <f aca="false">IF(ISNUMBER(P22),RANK(P22,$P$5:$P$54),"")</f>
        <v/>
      </c>
    </row>
    <row r="23" customFormat="false" ht="15" hidden="false" customHeight="false" outlineLevel="0" collapsed="false">
      <c r="A23" s="6"/>
      <c r="B23" s="9"/>
      <c r="C23" s="8"/>
      <c r="D23" s="9"/>
      <c r="E23" s="21"/>
      <c r="F23" s="9"/>
      <c r="G23" s="22"/>
      <c r="H23" s="22"/>
      <c r="I23" s="22"/>
      <c r="J23" s="22"/>
      <c r="K23" s="14" t="str">
        <f aca="false">IF(AND(ISNUMBER(B23),ISNUMBER(G23),ISNUMBER(H23)),B23*(1-E23)-D23-F23,"")</f>
        <v/>
      </c>
      <c r="L23" s="2" t="str">
        <f aca="false">IF(AND(ISNUMBER(B23),ISNUMBER(G23),ISNUMBER(H23)),IF(OR(AND(I23&lt;=-1,J23&gt;=-1),ABS(1+G23)&lt;2*H23,AND(G23&lt;-1,H23/ABS(G23*(1+G23))&gt;0.5)),"yes","no"),"")</f>
        <v/>
      </c>
      <c r="M23" s="14" t="str">
        <f aca="false">IF(AND(ISNUMBER(B23),ISNUMBER(G23),ISNUMBER(H23)),IF(AND(L23="no",G23&lt;-1,D23+F23&gt;0,E23&lt;1),(D23+F23)/(1-E23)*G23/(1+G23),"none"),"")</f>
        <v/>
      </c>
      <c r="N23" s="2" t="str">
        <f aca="false">IF(AND(ISNUMBER(B23),ISNUMBER(G23),ISNUMBER(H23)),IF(ISNUMBER(M23),IF(M23&gt;B23,"up",IF(M23&lt;B23,"down","hold")),IF(G23&gt;=-1,"up",IF(AND(L23="yes",D23+F23&gt;0,E23&lt;1),IF((D23+F23)/(1-E23)*G23/(1+G23)&gt;B23,"up","hold"),"hold"))),"")</f>
        <v/>
      </c>
      <c r="O23" s="14" t="str">
        <f aca="false">IF(AND(ISNUMBER(B23),ISNUMBER(G23),ISNUMBER(H23)),ROUND(IF(N23="up",B23*(1+MIN(0.05,IF(ISNUMBER(M23),M23/B23-1,0.05))),IF(N23="down",B23*(1-MIN(0.05,1-M23/B23)),B23)),2),"")</f>
        <v/>
      </c>
      <c r="P23" s="25" t="str">
        <f aca="false">IF(AND(ISNUMBER(B23),ISNUMBER(G23),ISNUMBER(H23)),C23*(O23/B23)^G23*(O23*(1-E23)-D23-F23)-C23*K23,"")</f>
        <v/>
      </c>
      <c r="Q23" s="13" t="str">
        <f aca="false">IF(ISNUMBER(P23),RANK(P23,$P$5:$P$54),"")</f>
        <v/>
      </c>
    </row>
    <row r="24" customFormat="false" ht="15" hidden="false" customHeight="false" outlineLevel="0" collapsed="false">
      <c r="A24" s="6"/>
      <c r="B24" s="9"/>
      <c r="C24" s="8"/>
      <c r="D24" s="9"/>
      <c r="E24" s="21"/>
      <c r="F24" s="9"/>
      <c r="G24" s="22"/>
      <c r="H24" s="22"/>
      <c r="I24" s="22"/>
      <c r="J24" s="22"/>
      <c r="K24" s="14" t="str">
        <f aca="false">IF(AND(ISNUMBER(B24),ISNUMBER(G24),ISNUMBER(H24)),B24*(1-E24)-D24-F24,"")</f>
        <v/>
      </c>
      <c r="L24" s="2" t="str">
        <f aca="false">IF(AND(ISNUMBER(B24),ISNUMBER(G24),ISNUMBER(H24)),IF(OR(AND(I24&lt;=-1,J24&gt;=-1),ABS(1+G24)&lt;2*H24,AND(G24&lt;-1,H24/ABS(G24*(1+G24))&gt;0.5)),"yes","no"),"")</f>
        <v/>
      </c>
      <c r="M24" s="14" t="str">
        <f aca="false">IF(AND(ISNUMBER(B24),ISNUMBER(G24),ISNUMBER(H24)),IF(AND(L24="no",G24&lt;-1,D24+F24&gt;0,E24&lt;1),(D24+F24)/(1-E24)*G24/(1+G24),"none"),"")</f>
        <v/>
      </c>
      <c r="N24" s="2" t="str">
        <f aca="false">IF(AND(ISNUMBER(B24),ISNUMBER(G24),ISNUMBER(H24)),IF(ISNUMBER(M24),IF(M24&gt;B24,"up",IF(M24&lt;B24,"down","hold")),IF(G24&gt;=-1,"up",IF(AND(L24="yes",D24+F24&gt;0,E24&lt;1),IF((D24+F24)/(1-E24)*G24/(1+G24)&gt;B24,"up","hold"),"hold"))),"")</f>
        <v/>
      </c>
      <c r="O24" s="14" t="str">
        <f aca="false">IF(AND(ISNUMBER(B24),ISNUMBER(G24),ISNUMBER(H24)),ROUND(IF(N24="up",B24*(1+MIN(0.05,IF(ISNUMBER(M24),M24/B24-1,0.05))),IF(N24="down",B24*(1-MIN(0.05,1-M24/B24)),B24)),2),"")</f>
        <v/>
      </c>
      <c r="P24" s="25" t="str">
        <f aca="false">IF(AND(ISNUMBER(B24),ISNUMBER(G24),ISNUMBER(H24)),C24*(O24/B24)^G24*(O24*(1-E24)-D24-F24)-C24*K24,"")</f>
        <v/>
      </c>
      <c r="Q24" s="13" t="str">
        <f aca="false">IF(ISNUMBER(P24),RANK(P24,$P$5:$P$54),"")</f>
        <v/>
      </c>
    </row>
    <row r="25" customFormat="false" ht="15" hidden="false" customHeight="false" outlineLevel="0" collapsed="false">
      <c r="A25" s="6"/>
      <c r="B25" s="9"/>
      <c r="C25" s="8"/>
      <c r="D25" s="9"/>
      <c r="E25" s="21"/>
      <c r="F25" s="9"/>
      <c r="G25" s="22"/>
      <c r="H25" s="22"/>
      <c r="I25" s="22"/>
      <c r="J25" s="22"/>
      <c r="K25" s="14" t="str">
        <f aca="false">IF(AND(ISNUMBER(B25),ISNUMBER(G25),ISNUMBER(H25)),B25*(1-E25)-D25-F25,"")</f>
        <v/>
      </c>
      <c r="L25" s="2" t="str">
        <f aca="false">IF(AND(ISNUMBER(B25),ISNUMBER(G25),ISNUMBER(H25)),IF(OR(AND(I25&lt;=-1,J25&gt;=-1),ABS(1+G25)&lt;2*H25,AND(G25&lt;-1,H25/ABS(G25*(1+G25))&gt;0.5)),"yes","no"),"")</f>
        <v/>
      </c>
      <c r="M25" s="14" t="str">
        <f aca="false">IF(AND(ISNUMBER(B25),ISNUMBER(G25),ISNUMBER(H25)),IF(AND(L25="no",G25&lt;-1,D25+F25&gt;0,E25&lt;1),(D25+F25)/(1-E25)*G25/(1+G25),"none"),"")</f>
        <v/>
      </c>
      <c r="N25" s="2" t="str">
        <f aca="false">IF(AND(ISNUMBER(B25),ISNUMBER(G25),ISNUMBER(H25)),IF(ISNUMBER(M25),IF(M25&gt;B25,"up",IF(M25&lt;B25,"down","hold")),IF(G25&gt;=-1,"up",IF(AND(L25="yes",D25+F25&gt;0,E25&lt;1),IF((D25+F25)/(1-E25)*G25/(1+G25)&gt;B25,"up","hold"),"hold"))),"")</f>
        <v/>
      </c>
      <c r="O25" s="14" t="str">
        <f aca="false">IF(AND(ISNUMBER(B25),ISNUMBER(G25),ISNUMBER(H25)),ROUND(IF(N25="up",B25*(1+MIN(0.05,IF(ISNUMBER(M25),M25/B25-1,0.05))),IF(N25="down",B25*(1-MIN(0.05,1-M25/B25)),B25)),2),"")</f>
        <v/>
      </c>
      <c r="P25" s="25" t="str">
        <f aca="false">IF(AND(ISNUMBER(B25),ISNUMBER(G25),ISNUMBER(H25)),C25*(O25/B25)^G25*(O25*(1-E25)-D25-F25)-C25*K25,"")</f>
        <v/>
      </c>
      <c r="Q25" s="13" t="str">
        <f aca="false">IF(ISNUMBER(P25),RANK(P25,$P$5:$P$54),"")</f>
        <v/>
      </c>
    </row>
    <row r="26" customFormat="false" ht="15" hidden="false" customHeight="false" outlineLevel="0" collapsed="false">
      <c r="A26" s="6"/>
      <c r="B26" s="9"/>
      <c r="C26" s="8"/>
      <c r="D26" s="9"/>
      <c r="E26" s="21"/>
      <c r="F26" s="9"/>
      <c r="G26" s="22"/>
      <c r="H26" s="22"/>
      <c r="I26" s="22"/>
      <c r="J26" s="22"/>
      <c r="K26" s="14" t="str">
        <f aca="false">IF(AND(ISNUMBER(B26),ISNUMBER(G26),ISNUMBER(H26)),B26*(1-E26)-D26-F26,"")</f>
        <v/>
      </c>
      <c r="L26" s="2" t="str">
        <f aca="false">IF(AND(ISNUMBER(B26),ISNUMBER(G26),ISNUMBER(H26)),IF(OR(AND(I26&lt;=-1,J26&gt;=-1),ABS(1+G26)&lt;2*H26,AND(G26&lt;-1,H26/ABS(G26*(1+G26))&gt;0.5)),"yes","no"),"")</f>
        <v/>
      </c>
      <c r="M26" s="14" t="str">
        <f aca="false">IF(AND(ISNUMBER(B26),ISNUMBER(G26),ISNUMBER(H26)),IF(AND(L26="no",G26&lt;-1,D26+F26&gt;0,E26&lt;1),(D26+F26)/(1-E26)*G26/(1+G26),"none"),"")</f>
        <v/>
      </c>
      <c r="N26" s="2" t="str">
        <f aca="false">IF(AND(ISNUMBER(B26),ISNUMBER(G26),ISNUMBER(H26)),IF(ISNUMBER(M26),IF(M26&gt;B26,"up",IF(M26&lt;B26,"down","hold")),IF(G26&gt;=-1,"up",IF(AND(L26="yes",D26+F26&gt;0,E26&lt;1),IF((D26+F26)/(1-E26)*G26/(1+G26)&gt;B26,"up","hold"),"hold"))),"")</f>
        <v/>
      </c>
      <c r="O26" s="14" t="str">
        <f aca="false">IF(AND(ISNUMBER(B26),ISNUMBER(G26),ISNUMBER(H26)),ROUND(IF(N26="up",B26*(1+MIN(0.05,IF(ISNUMBER(M26),M26/B26-1,0.05))),IF(N26="down",B26*(1-MIN(0.05,1-M26/B26)),B26)),2),"")</f>
        <v/>
      </c>
      <c r="P26" s="25" t="str">
        <f aca="false">IF(AND(ISNUMBER(B26),ISNUMBER(G26),ISNUMBER(H26)),C26*(O26/B26)^G26*(O26*(1-E26)-D26-F26)-C26*K26,"")</f>
        <v/>
      </c>
      <c r="Q26" s="13" t="str">
        <f aca="false">IF(ISNUMBER(P26),RANK(P26,$P$5:$P$54),"")</f>
        <v/>
      </c>
    </row>
    <row r="27" customFormat="false" ht="15" hidden="false" customHeight="false" outlineLevel="0" collapsed="false">
      <c r="A27" s="6"/>
      <c r="B27" s="9"/>
      <c r="C27" s="8"/>
      <c r="D27" s="9"/>
      <c r="E27" s="21"/>
      <c r="F27" s="9"/>
      <c r="G27" s="22"/>
      <c r="H27" s="22"/>
      <c r="I27" s="22"/>
      <c r="J27" s="22"/>
      <c r="K27" s="14" t="str">
        <f aca="false">IF(AND(ISNUMBER(B27),ISNUMBER(G27),ISNUMBER(H27)),B27*(1-E27)-D27-F27,"")</f>
        <v/>
      </c>
      <c r="L27" s="2" t="str">
        <f aca="false">IF(AND(ISNUMBER(B27),ISNUMBER(G27),ISNUMBER(H27)),IF(OR(AND(I27&lt;=-1,J27&gt;=-1),ABS(1+G27)&lt;2*H27,AND(G27&lt;-1,H27/ABS(G27*(1+G27))&gt;0.5)),"yes","no"),"")</f>
        <v/>
      </c>
      <c r="M27" s="14" t="str">
        <f aca="false">IF(AND(ISNUMBER(B27),ISNUMBER(G27),ISNUMBER(H27)),IF(AND(L27="no",G27&lt;-1,D27+F27&gt;0,E27&lt;1),(D27+F27)/(1-E27)*G27/(1+G27),"none"),"")</f>
        <v/>
      </c>
      <c r="N27" s="2" t="str">
        <f aca="false">IF(AND(ISNUMBER(B27),ISNUMBER(G27),ISNUMBER(H27)),IF(ISNUMBER(M27),IF(M27&gt;B27,"up",IF(M27&lt;B27,"down","hold")),IF(G27&gt;=-1,"up",IF(AND(L27="yes",D27+F27&gt;0,E27&lt;1),IF((D27+F27)/(1-E27)*G27/(1+G27)&gt;B27,"up","hold"),"hold"))),"")</f>
        <v/>
      </c>
      <c r="O27" s="14" t="str">
        <f aca="false">IF(AND(ISNUMBER(B27),ISNUMBER(G27),ISNUMBER(H27)),ROUND(IF(N27="up",B27*(1+MIN(0.05,IF(ISNUMBER(M27),M27/B27-1,0.05))),IF(N27="down",B27*(1-MIN(0.05,1-M27/B27)),B27)),2),"")</f>
        <v/>
      </c>
      <c r="P27" s="25" t="str">
        <f aca="false">IF(AND(ISNUMBER(B27),ISNUMBER(G27),ISNUMBER(H27)),C27*(O27/B27)^G27*(O27*(1-E27)-D27-F27)-C27*K27,"")</f>
        <v/>
      </c>
      <c r="Q27" s="13" t="str">
        <f aca="false">IF(ISNUMBER(P27),RANK(P27,$P$5:$P$54),"")</f>
        <v/>
      </c>
    </row>
    <row r="28" customFormat="false" ht="15" hidden="false" customHeight="false" outlineLevel="0" collapsed="false">
      <c r="A28" s="6"/>
      <c r="B28" s="9"/>
      <c r="C28" s="8"/>
      <c r="D28" s="9"/>
      <c r="E28" s="21"/>
      <c r="F28" s="9"/>
      <c r="G28" s="22"/>
      <c r="H28" s="22"/>
      <c r="I28" s="22"/>
      <c r="J28" s="22"/>
      <c r="K28" s="14" t="str">
        <f aca="false">IF(AND(ISNUMBER(B28),ISNUMBER(G28),ISNUMBER(H28)),B28*(1-E28)-D28-F28,"")</f>
        <v/>
      </c>
      <c r="L28" s="2" t="str">
        <f aca="false">IF(AND(ISNUMBER(B28),ISNUMBER(G28),ISNUMBER(H28)),IF(OR(AND(I28&lt;=-1,J28&gt;=-1),ABS(1+G28)&lt;2*H28,AND(G28&lt;-1,H28/ABS(G28*(1+G28))&gt;0.5)),"yes","no"),"")</f>
        <v/>
      </c>
      <c r="M28" s="14" t="str">
        <f aca="false">IF(AND(ISNUMBER(B28),ISNUMBER(G28),ISNUMBER(H28)),IF(AND(L28="no",G28&lt;-1,D28+F28&gt;0,E28&lt;1),(D28+F28)/(1-E28)*G28/(1+G28),"none"),"")</f>
        <v/>
      </c>
      <c r="N28" s="2" t="str">
        <f aca="false">IF(AND(ISNUMBER(B28),ISNUMBER(G28),ISNUMBER(H28)),IF(ISNUMBER(M28),IF(M28&gt;B28,"up",IF(M28&lt;B28,"down","hold")),IF(G28&gt;=-1,"up",IF(AND(L28="yes",D28+F28&gt;0,E28&lt;1),IF((D28+F28)/(1-E28)*G28/(1+G28)&gt;B28,"up","hold"),"hold"))),"")</f>
        <v/>
      </c>
      <c r="O28" s="14" t="str">
        <f aca="false">IF(AND(ISNUMBER(B28),ISNUMBER(G28),ISNUMBER(H28)),ROUND(IF(N28="up",B28*(1+MIN(0.05,IF(ISNUMBER(M28),M28/B28-1,0.05))),IF(N28="down",B28*(1-MIN(0.05,1-M28/B28)),B28)),2),"")</f>
        <v/>
      </c>
      <c r="P28" s="25" t="str">
        <f aca="false">IF(AND(ISNUMBER(B28),ISNUMBER(G28),ISNUMBER(H28)),C28*(O28/B28)^G28*(O28*(1-E28)-D28-F28)-C28*K28,"")</f>
        <v/>
      </c>
      <c r="Q28" s="13" t="str">
        <f aca="false">IF(ISNUMBER(P28),RANK(P28,$P$5:$P$54),"")</f>
        <v/>
      </c>
    </row>
    <row r="29" customFormat="false" ht="15" hidden="false" customHeight="false" outlineLevel="0" collapsed="false">
      <c r="A29" s="6"/>
      <c r="B29" s="9"/>
      <c r="C29" s="8"/>
      <c r="D29" s="9"/>
      <c r="E29" s="21"/>
      <c r="F29" s="9"/>
      <c r="G29" s="22"/>
      <c r="H29" s="22"/>
      <c r="I29" s="22"/>
      <c r="J29" s="22"/>
      <c r="K29" s="14" t="str">
        <f aca="false">IF(AND(ISNUMBER(B29),ISNUMBER(G29),ISNUMBER(H29)),B29*(1-E29)-D29-F29,"")</f>
        <v/>
      </c>
      <c r="L29" s="2" t="str">
        <f aca="false">IF(AND(ISNUMBER(B29),ISNUMBER(G29),ISNUMBER(H29)),IF(OR(AND(I29&lt;=-1,J29&gt;=-1),ABS(1+G29)&lt;2*H29,AND(G29&lt;-1,H29/ABS(G29*(1+G29))&gt;0.5)),"yes","no"),"")</f>
        <v/>
      </c>
      <c r="M29" s="14" t="str">
        <f aca="false">IF(AND(ISNUMBER(B29),ISNUMBER(G29),ISNUMBER(H29)),IF(AND(L29="no",G29&lt;-1,D29+F29&gt;0,E29&lt;1),(D29+F29)/(1-E29)*G29/(1+G29),"none"),"")</f>
        <v/>
      </c>
      <c r="N29" s="2" t="str">
        <f aca="false">IF(AND(ISNUMBER(B29),ISNUMBER(G29),ISNUMBER(H29)),IF(ISNUMBER(M29),IF(M29&gt;B29,"up",IF(M29&lt;B29,"down","hold")),IF(G29&gt;=-1,"up",IF(AND(L29="yes",D29+F29&gt;0,E29&lt;1),IF((D29+F29)/(1-E29)*G29/(1+G29)&gt;B29,"up","hold"),"hold"))),"")</f>
        <v/>
      </c>
      <c r="O29" s="14" t="str">
        <f aca="false">IF(AND(ISNUMBER(B29),ISNUMBER(G29),ISNUMBER(H29)),ROUND(IF(N29="up",B29*(1+MIN(0.05,IF(ISNUMBER(M29),M29/B29-1,0.05))),IF(N29="down",B29*(1-MIN(0.05,1-M29/B29)),B29)),2),"")</f>
        <v/>
      </c>
      <c r="P29" s="25" t="str">
        <f aca="false">IF(AND(ISNUMBER(B29),ISNUMBER(G29),ISNUMBER(H29)),C29*(O29/B29)^G29*(O29*(1-E29)-D29-F29)-C29*K29,"")</f>
        <v/>
      </c>
      <c r="Q29" s="13" t="str">
        <f aca="false">IF(ISNUMBER(P29),RANK(P29,$P$5:$P$54),"")</f>
        <v/>
      </c>
    </row>
    <row r="30" customFormat="false" ht="15" hidden="false" customHeight="false" outlineLevel="0" collapsed="false">
      <c r="A30" s="6"/>
      <c r="B30" s="9"/>
      <c r="C30" s="8"/>
      <c r="D30" s="9"/>
      <c r="E30" s="21"/>
      <c r="F30" s="9"/>
      <c r="G30" s="22"/>
      <c r="H30" s="22"/>
      <c r="I30" s="22"/>
      <c r="J30" s="22"/>
      <c r="K30" s="14" t="str">
        <f aca="false">IF(AND(ISNUMBER(B30),ISNUMBER(G30),ISNUMBER(H30)),B30*(1-E30)-D30-F30,"")</f>
        <v/>
      </c>
      <c r="L30" s="2" t="str">
        <f aca="false">IF(AND(ISNUMBER(B30),ISNUMBER(G30),ISNUMBER(H30)),IF(OR(AND(I30&lt;=-1,J30&gt;=-1),ABS(1+G30)&lt;2*H30,AND(G30&lt;-1,H30/ABS(G30*(1+G30))&gt;0.5)),"yes","no"),"")</f>
        <v/>
      </c>
      <c r="M30" s="14" t="str">
        <f aca="false">IF(AND(ISNUMBER(B30),ISNUMBER(G30),ISNUMBER(H30)),IF(AND(L30="no",G30&lt;-1,D30+F30&gt;0,E30&lt;1),(D30+F30)/(1-E30)*G30/(1+G30),"none"),"")</f>
        <v/>
      </c>
      <c r="N30" s="2" t="str">
        <f aca="false">IF(AND(ISNUMBER(B30),ISNUMBER(G30),ISNUMBER(H30)),IF(ISNUMBER(M30),IF(M30&gt;B30,"up",IF(M30&lt;B30,"down","hold")),IF(G30&gt;=-1,"up",IF(AND(L30="yes",D30+F30&gt;0,E30&lt;1),IF((D30+F30)/(1-E30)*G30/(1+G30)&gt;B30,"up","hold"),"hold"))),"")</f>
        <v/>
      </c>
      <c r="O30" s="14" t="str">
        <f aca="false">IF(AND(ISNUMBER(B30),ISNUMBER(G30),ISNUMBER(H30)),ROUND(IF(N30="up",B30*(1+MIN(0.05,IF(ISNUMBER(M30),M30/B30-1,0.05))),IF(N30="down",B30*(1-MIN(0.05,1-M30/B30)),B30)),2),"")</f>
        <v/>
      </c>
      <c r="P30" s="25" t="str">
        <f aca="false">IF(AND(ISNUMBER(B30),ISNUMBER(G30),ISNUMBER(H30)),C30*(O30/B30)^G30*(O30*(1-E30)-D30-F30)-C30*K30,"")</f>
        <v/>
      </c>
      <c r="Q30" s="13" t="str">
        <f aca="false">IF(ISNUMBER(P30),RANK(P30,$P$5:$P$54),"")</f>
        <v/>
      </c>
    </row>
    <row r="31" customFormat="false" ht="15" hidden="false" customHeight="false" outlineLevel="0" collapsed="false">
      <c r="A31" s="6"/>
      <c r="B31" s="9"/>
      <c r="C31" s="8"/>
      <c r="D31" s="9"/>
      <c r="E31" s="21"/>
      <c r="F31" s="9"/>
      <c r="G31" s="22"/>
      <c r="H31" s="22"/>
      <c r="I31" s="22"/>
      <c r="J31" s="22"/>
      <c r="K31" s="14" t="str">
        <f aca="false">IF(AND(ISNUMBER(B31),ISNUMBER(G31),ISNUMBER(H31)),B31*(1-E31)-D31-F31,"")</f>
        <v/>
      </c>
      <c r="L31" s="2" t="str">
        <f aca="false">IF(AND(ISNUMBER(B31),ISNUMBER(G31),ISNUMBER(H31)),IF(OR(AND(I31&lt;=-1,J31&gt;=-1),ABS(1+G31)&lt;2*H31,AND(G31&lt;-1,H31/ABS(G31*(1+G31))&gt;0.5)),"yes","no"),"")</f>
        <v/>
      </c>
      <c r="M31" s="14" t="str">
        <f aca="false">IF(AND(ISNUMBER(B31),ISNUMBER(G31),ISNUMBER(H31)),IF(AND(L31="no",G31&lt;-1,D31+F31&gt;0,E31&lt;1),(D31+F31)/(1-E31)*G31/(1+G31),"none"),"")</f>
        <v/>
      </c>
      <c r="N31" s="2" t="str">
        <f aca="false">IF(AND(ISNUMBER(B31),ISNUMBER(G31),ISNUMBER(H31)),IF(ISNUMBER(M31),IF(M31&gt;B31,"up",IF(M31&lt;B31,"down","hold")),IF(G31&gt;=-1,"up",IF(AND(L31="yes",D31+F31&gt;0,E31&lt;1),IF((D31+F31)/(1-E31)*G31/(1+G31)&gt;B31,"up","hold"),"hold"))),"")</f>
        <v/>
      </c>
      <c r="O31" s="14" t="str">
        <f aca="false">IF(AND(ISNUMBER(B31),ISNUMBER(G31),ISNUMBER(H31)),ROUND(IF(N31="up",B31*(1+MIN(0.05,IF(ISNUMBER(M31),M31/B31-1,0.05))),IF(N31="down",B31*(1-MIN(0.05,1-M31/B31)),B31)),2),"")</f>
        <v/>
      </c>
      <c r="P31" s="25" t="str">
        <f aca="false">IF(AND(ISNUMBER(B31),ISNUMBER(G31),ISNUMBER(H31)),C31*(O31/B31)^G31*(O31*(1-E31)-D31-F31)-C31*K31,"")</f>
        <v/>
      </c>
      <c r="Q31" s="13" t="str">
        <f aca="false">IF(ISNUMBER(P31),RANK(P31,$P$5:$P$54),"")</f>
        <v/>
      </c>
    </row>
    <row r="32" customFormat="false" ht="15" hidden="false" customHeight="false" outlineLevel="0" collapsed="false">
      <c r="A32" s="6"/>
      <c r="B32" s="9"/>
      <c r="C32" s="8"/>
      <c r="D32" s="9"/>
      <c r="E32" s="21"/>
      <c r="F32" s="9"/>
      <c r="G32" s="22"/>
      <c r="H32" s="22"/>
      <c r="I32" s="22"/>
      <c r="J32" s="22"/>
      <c r="K32" s="14" t="str">
        <f aca="false">IF(AND(ISNUMBER(B32),ISNUMBER(G32),ISNUMBER(H32)),B32*(1-E32)-D32-F32,"")</f>
        <v/>
      </c>
      <c r="L32" s="2" t="str">
        <f aca="false">IF(AND(ISNUMBER(B32),ISNUMBER(G32),ISNUMBER(H32)),IF(OR(AND(I32&lt;=-1,J32&gt;=-1),ABS(1+G32)&lt;2*H32,AND(G32&lt;-1,H32/ABS(G32*(1+G32))&gt;0.5)),"yes","no"),"")</f>
        <v/>
      </c>
      <c r="M32" s="14" t="str">
        <f aca="false">IF(AND(ISNUMBER(B32),ISNUMBER(G32),ISNUMBER(H32)),IF(AND(L32="no",G32&lt;-1,D32+F32&gt;0,E32&lt;1),(D32+F32)/(1-E32)*G32/(1+G32),"none"),"")</f>
        <v/>
      </c>
      <c r="N32" s="2" t="str">
        <f aca="false">IF(AND(ISNUMBER(B32),ISNUMBER(G32),ISNUMBER(H32)),IF(ISNUMBER(M32),IF(M32&gt;B32,"up",IF(M32&lt;B32,"down","hold")),IF(G32&gt;=-1,"up",IF(AND(L32="yes",D32+F32&gt;0,E32&lt;1),IF((D32+F32)/(1-E32)*G32/(1+G32)&gt;B32,"up","hold"),"hold"))),"")</f>
        <v/>
      </c>
      <c r="O32" s="14" t="str">
        <f aca="false">IF(AND(ISNUMBER(B32),ISNUMBER(G32),ISNUMBER(H32)),ROUND(IF(N32="up",B32*(1+MIN(0.05,IF(ISNUMBER(M32),M32/B32-1,0.05))),IF(N32="down",B32*(1-MIN(0.05,1-M32/B32)),B32)),2),"")</f>
        <v/>
      </c>
      <c r="P32" s="25" t="str">
        <f aca="false">IF(AND(ISNUMBER(B32),ISNUMBER(G32),ISNUMBER(H32)),C32*(O32/B32)^G32*(O32*(1-E32)-D32-F32)-C32*K32,"")</f>
        <v/>
      </c>
      <c r="Q32" s="13" t="str">
        <f aca="false">IF(ISNUMBER(P32),RANK(P32,$P$5:$P$54),"")</f>
        <v/>
      </c>
    </row>
    <row r="33" customFormat="false" ht="15" hidden="false" customHeight="false" outlineLevel="0" collapsed="false">
      <c r="A33" s="6"/>
      <c r="B33" s="9"/>
      <c r="C33" s="8"/>
      <c r="D33" s="9"/>
      <c r="E33" s="21"/>
      <c r="F33" s="9"/>
      <c r="G33" s="22"/>
      <c r="H33" s="22"/>
      <c r="I33" s="22"/>
      <c r="J33" s="22"/>
      <c r="K33" s="14" t="str">
        <f aca="false">IF(AND(ISNUMBER(B33),ISNUMBER(G33),ISNUMBER(H33)),B33*(1-E33)-D33-F33,"")</f>
        <v/>
      </c>
      <c r="L33" s="2" t="str">
        <f aca="false">IF(AND(ISNUMBER(B33),ISNUMBER(G33),ISNUMBER(H33)),IF(OR(AND(I33&lt;=-1,J33&gt;=-1),ABS(1+G33)&lt;2*H33,AND(G33&lt;-1,H33/ABS(G33*(1+G33))&gt;0.5)),"yes","no"),"")</f>
        <v/>
      </c>
      <c r="M33" s="14" t="str">
        <f aca="false">IF(AND(ISNUMBER(B33),ISNUMBER(G33),ISNUMBER(H33)),IF(AND(L33="no",G33&lt;-1,D33+F33&gt;0,E33&lt;1),(D33+F33)/(1-E33)*G33/(1+G33),"none"),"")</f>
        <v/>
      </c>
      <c r="N33" s="2" t="str">
        <f aca="false">IF(AND(ISNUMBER(B33),ISNUMBER(G33),ISNUMBER(H33)),IF(ISNUMBER(M33),IF(M33&gt;B33,"up",IF(M33&lt;B33,"down","hold")),IF(G33&gt;=-1,"up",IF(AND(L33="yes",D33+F33&gt;0,E33&lt;1),IF((D33+F33)/(1-E33)*G33/(1+G33)&gt;B33,"up","hold"),"hold"))),"")</f>
        <v/>
      </c>
      <c r="O33" s="14" t="str">
        <f aca="false">IF(AND(ISNUMBER(B33),ISNUMBER(G33),ISNUMBER(H33)),ROUND(IF(N33="up",B33*(1+MIN(0.05,IF(ISNUMBER(M33),M33/B33-1,0.05))),IF(N33="down",B33*(1-MIN(0.05,1-M33/B33)),B33)),2),"")</f>
        <v/>
      </c>
      <c r="P33" s="25" t="str">
        <f aca="false">IF(AND(ISNUMBER(B33),ISNUMBER(G33),ISNUMBER(H33)),C33*(O33/B33)^G33*(O33*(1-E33)-D33-F33)-C33*K33,"")</f>
        <v/>
      </c>
      <c r="Q33" s="13" t="str">
        <f aca="false">IF(ISNUMBER(P33),RANK(P33,$P$5:$P$54),"")</f>
        <v/>
      </c>
    </row>
    <row r="34" customFormat="false" ht="15" hidden="false" customHeight="false" outlineLevel="0" collapsed="false">
      <c r="A34" s="6"/>
      <c r="B34" s="9"/>
      <c r="C34" s="8"/>
      <c r="D34" s="9"/>
      <c r="E34" s="21"/>
      <c r="F34" s="9"/>
      <c r="G34" s="22"/>
      <c r="H34" s="22"/>
      <c r="I34" s="22"/>
      <c r="J34" s="22"/>
      <c r="K34" s="14" t="str">
        <f aca="false">IF(AND(ISNUMBER(B34),ISNUMBER(G34),ISNUMBER(H34)),B34*(1-E34)-D34-F34,"")</f>
        <v/>
      </c>
      <c r="L34" s="2" t="str">
        <f aca="false">IF(AND(ISNUMBER(B34),ISNUMBER(G34),ISNUMBER(H34)),IF(OR(AND(I34&lt;=-1,J34&gt;=-1),ABS(1+G34)&lt;2*H34,AND(G34&lt;-1,H34/ABS(G34*(1+G34))&gt;0.5)),"yes","no"),"")</f>
        <v/>
      </c>
      <c r="M34" s="14" t="str">
        <f aca="false">IF(AND(ISNUMBER(B34),ISNUMBER(G34),ISNUMBER(H34)),IF(AND(L34="no",G34&lt;-1,D34+F34&gt;0,E34&lt;1),(D34+F34)/(1-E34)*G34/(1+G34),"none"),"")</f>
        <v/>
      </c>
      <c r="N34" s="2" t="str">
        <f aca="false">IF(AND(ISNUMBER(B34),ISNUMBER(G34),ISNUMBER(H34)),IF(ISNUMBER(M34),IF(M34&gt;B34,"up",IF(M34&lt;B34,"down","hold")),IF(G34&gt;=-1,"up",IF(AND(L34="yes",D34+F34&gt;0,E34&lt;1),IF((D34+F34)/(1-E34)*G34/(1+G34)&gt;B34,"up","hold"),"hold"))),"")</f>
        <v/>
      </c>
      <c r="O34" s="14" t="str">
        <f aca="false">IF(AND(ISNUMBER(B34),ISNUMBER(G34),ISNUMBER(H34)),ROUND(IF(N34="up",B34*(1+MIN(0.05,IF(ISNUMBER(M34),M34/B34-1,0.05))),IF(N34="down",B34*(1-MIN(0.05,1-M34/B34)),B34)),2),"")</f>
        <v/>
      </c>
      <c r="P34" s="25" t="str">
        <f aca="false">IF(AND(ISNUMBER(B34),ISNUMBER(G34),ISNUMBER(H34)),C34*(O34/B34)^G34*(O34*(1-E34)-D34-F34)-C34*K34,"")</f>
        <v/>
      </c>
      <c r="Q34" s="13" t="str">
        <f aca="false">IF(ISNUMBER(P34),RANK(P34,$P$5:$P$54),"")</f>
        <v/>
      </c>
    </row>
    <row r="35" customFormat="false" ht="15" hidden="false" customHeight="false" outlineLevel="0" collapsed="false">
      <c r="A35" s="6"/>
      <c r="B35" s="9"/>
      <c r="C35" s="8"/>
      <c r="D35" s="9"/>
      <c r="E35" s="21"/>
      <c r="F35" s="9"/>
      <c r="G35" s="22"/>
      <c r="H35" s="22"/>
      <c r="I35" s="22"/>
      <c r="J35" s="22"/>
      <c r="K35" s="14" t="str">
        <f aca="false">IF(AND(ISNUMBER(B35),ISNUMBER(G35),ISNUMBER(H35)),B35*(1-E35)-D35-F35,"")</f>
        <v/>
      </c>
      <c r="L35" s="2" t="str">
        <f aca="false">IF(AND(ISNUMBER(B35),ISNUMBER(G35),ISNUMBER(H35)),IF(OR(AND(I35&lt;=-1,J35&gt;=-1),ABS(1+G35)&lt;2*H35,AND(G35&lt;-1,H35/ABS(G35*(1+G35))&gt;0.5)),"yes","no"),"")</f>
        <v/>
      </c>
      <c r="M35" s="14" t="str">
        <f aca="false">IF(AND(ISNUMBER(B35),ISNUMBER(G35),ISNUMBER(H35)),IF(AND(L35="no",G35&lt;-1,D35+F35&gt;0,E35&lt;1),(D35+F35)/(1-E35)*G35/(1+G35),"none"),"")</f>
        <v/>
      </c>
      <c r="N35" s="2" t="str">
        <f aca="false">IF(AND(ISNUMBER(B35),ISNUMBER(G35),ISNUMBER(H35)),IF(ISNUMBER(M35),IF(M35&gt;B35,"up",IF(M35&lt;B35,"down","hold")),IF(G35&gt;=-1,"up",IF(AND(L35="yes",D35+F35&gt;0,E35&lt;1),IF((D35+F35)/(1-E35)*G35/(1+G35)&gt;B35,"up","hold"),"hold"))),"")</f>
        <v/>
      </c>
      <c r="O35" s="14" t="str">
        <f aca="false">IF(AND(ISNUMBER(B35),ISNUMBER(G35),ISNUMBER(H35)),ROUND(IF(N35="up",B35*(1+MIN(0.05,IF(ISNUMBER(M35),M35/B35-1,0.05))),IF(N35="down",B35*(1-MIN(0.05,1-M35/B35)),B35)),2),"")</f>
        <v/>
      </c>
      <c r="P35" s="25" t="str">
        <f aca="false">IF(AND(ISNUMBER(B35),ISNUMBER(G35),ISNUMBER(H35)),C35*(O35/B35)^G35*(O35*(1-E35)-D35-F35)-C35*K35,"")</f>
        <v/>
      </c>
      <c r="Q35" s="13" t="str">
        <f aca="false">IF(ISNUMBER(P35),RANK(P35,$P$5:$P$54),"")</f>
        <v/>
      </c>
    </row>
    <row r="36" customFormat="false" ht="15" hidden="false" customHeight="false" outlineLevel="0" collapsed="false">
      <c r="A36" s="6"/>
      <c r="B36" s="9"/>
      <c r="C36" s="8"/>
      <c r="D36" s="9"/>
      <c r="E36" s="21"/>
      <c r="F36" s="9"/>
      <c r="G36" s="22"/>
      <c r="H36" s="22"/>
      <c r="I36" s="22"/>
      <c r="J36" s="22"/>
      <c r="K36" s="14" t="str">
        <f aca="false">IF(AND(ISNUMBER(B36),ISNUMBER(G36),ISNUMBER(H36)),B36*(1-E36)-D36-F36,"")</f>
        <v/>
      </c>
      <c r="L36" s="2" t="str">
        <f aca="false">IF(AND(ISNUMBER(B36),ISNUMBER(G36),ISNUMBER(H36)),IF(OR(AND(I36&lt;=-1,J36&gt;=-1),ABS(1+G36)&lt;2*H36,AND(G36&lt;-1,H36/ABS(G36*(1+G36))&gt;0.5)),"yes","no"),"")</f>
        <v/>
      </c>
      <c r="M36" s="14" t="str">
        <f aca="false">IF(AND(ISNUMBER(B36),ISNUMBER(G36),ISNUMBER(H36)),IF(AND(L36="no",G36&lt;-1,D36+F36&gt;0,E36&lt;1),(D36+F36)/(1-E36)*G36/(1+G36),"none"),"")</f>
        <v/>
      </c>
      <c r="N36" s="2" t="str">
        <f aca="false">IF(AND(ISNUMBER(B36),ISNUMBER(G36),ISNUMBER(H36)),IF(ISNUMBER(M36),IF(M36&gt;B36,"up",IF(M36&lt;B36,"down","hold")),IF(G36&gt;=-1,"up",IF(AND(L36="yes",D36+F36&gt;0,E36&lt;1),IF((D36+F36)/(1-E36)*G36/(1+G36)&gt;B36,"up","hold"),"hold"))),"")</f>
        <v/>
      </c>
      <c r="O36" s="14" t="str">
        <f aca="false">IF(AND(ISNUMBER(B36),ISNUMBER(G36),ISNUMBER(H36)),ROUND(IF(N36="up",B36*(1+MIN(0.05,IF(ISNUMBER(M36),M36/B36-1,0.05))),IF(N36="down",B36*(1-MIN(0.05,1-M36/B36)),B36)),2),"")</f>
        <v/>
      </c>
      <c r="P36" s="25" t="str">
        <f aca="false">IF(AND(ISNUMBER(B36),ISNUMBER(G36),ISNUMBER(H36)),C36*(O36/B36)^G36*(O36*(1-E36)-D36-F36)-C36*K36,"")</f>
        <v/>
      </c>
      <c r="Q36" s="13" t="str">
        <f aca="false">IF(ISNUMBER(P36),RANK(P36,$P$5:$P$54),"")</f>
        <v/>
      </c>
    </row>
    <row r="37" customFormat="false" ht="15" hidden="false" customHeight="false" outlineLevel="0" collapsed="false">
      <c r="A37" s="6"/>
      <c r="B37" s="9"/>
      <c r="C37" s="8"/>
      <c r="D37" s="9"/>
      <c r="E37" s="21"/>
      <c r="F37" s="9"/>
      <c r="G37" s="22"/>
      <c r="H37" s="22"/>
      <c r="I37" s="22"/>
      <c r="J37" s="22"/>
      <c r="K37" s="14" t="str">
        <f aca="false">IF(AND(ISNUMBER(B37),ISNUMBER(G37),ISNUMBER(H37)),B37*(1-E37)-D37-F37,"")</f>
        <v/>
      </c>
      <c r="L37" s="2" t="str">
        <f aca="false">IF(AND(ISNUMBER(B37),ISNUMBER(G37),ISNUMBER(H37)),IF(OR(AND(I37&lt;=-1,J37&gt;=-1),ABS(1+G37)&lt;2*H37,AND(G37&lt;-1,H37/ABS(G37*(1+G37))&gt;0.5)),"yes","no"),"")</f>
        <v/>
      </c>
      <c r="M37" s="14" t="str">
        <f aca="false">IF(AND(ISNUMBER(B37),ISNUMBER(G37),ISNUMBER(H37)),IF(AND(L37="no",G37&lt;-1,D37+F37&gt;0,E37&lt;1),(D37+F37)/(1-E37)*G37/(1+G37),"none"),"")</f>
        <v/>
      </c>
      <c r="N37" s="2" t="str">
        <f aca="false">IF(AND(ISNUMBER(B37),ISNUMBER(G37),ISNUMBER(H37)),IF(ISNUMBER(M37),IF(M37&gt;B37,"up",IF(M37&lt;B37,"down","hold")),IF(G37&gt;=-1,"up",IF(AND(L37="yes",D37+F37&gt;0,E37&lt;1),IF((D37+F37)/(1-E37)*G37/(1+G37)&gt;B37,"up","hold"),"hold"))),"")</f>
        <v/>
      </c>
      <c r="O37" s="14" t="str">
        <f aca="false">IF(AND(ISNUMBER(B37),ISNUMBER(G37),ISNUMBER(H37)),ROUND(IF(N37="up",B37*(1+MIN(0.05,IF(ISNUMBER(M37),M37/B37-1,0.05))),IF(N37="down",B37*(1-MIN(0.05,1-M37/B37)),B37)),2),"")</f>
        <v/>
      </c>
      <c r="P37" s="25" t="str">
        <f aca="false">IF(AND(ISNUMBER(B37),ISNUMBER(G37),ISNUMBER(H37)),C37*(O37/B37)^G37*(O37*(1-E37)-D37-F37)-C37*K37,"")</f>
        <v/>
      </c>
      <c r="Q37" s="13" t="str">
        <f aca="false">IF(ISNUMBER(P37),RANK(P37,$P$5:$P$54),"")</f>
        <v/>
      </c>
    </row>
    <row r="38" customFormat="false" ht="15" hidden="false" customHeight="false" outlineLevel="0" collapsed="false">
      <c r="A38" s="6"/>
      <c r="B38" s="9"/>
      <c r="C38" s="8"/>
      <c r="D38" s="9"/>
      <c r="E38" s="21"/>
      <c r="F38" s="9"/>
      <c r="G38" s="22"/>
      <c r="H38" s="22"/>
      <c r="I38" s="22"/>
      <c r="J38" s="22"/>
      <c r="K38" s="14" t="str">
        <f aca="false">IF(AND(ISNUMBER(B38),ISNUMBER(G38),ISNUMBER(H38)),B38*(1-E38)-D38-F38,"")</f>
        <v/>
      </c>
      <c r="L38" s="2" t="str">
        <f aca="false">IF(AND(ISNUMBER(B38),ISNUMBER(G38),ISNUMBER(H38)),IF(OR(AND(I38&lt;=-1,J38&gt;=-1),ABS(1+G38)&lt;2*H38,AND(G38&lt;-1,H38/ABS(G38*(1+G38))&gt;0.5)),"yes","no"),"")</f>
        <v/>
      </c>
      <c r="M38" s="14" t="str">
        <f aca="false">IF(AND(ISNUMBER(B38),ISNUMBER(G38),ISNUMBER(H38)),IF(AND(L38="no",G38&lt;-1,D38+F38&gt;0,E38&lt;1),(D38+F38)/(1-E38)*G38/(1+G38),"none"),"")</f>
        <v/>
      </c>
      <c r="N38" s="2" t="str">
        <f aca="false">IF(AND(ISNUMBER(B38),ISNUMBER(G38),ISNUMBER(H38)),IF(ISNUMBER(M38),IF(M38&gt;B38,"up",IF(M38&lt;B38,"down","hold")),IF(G38&gt;=-1,"up",IF(AND(L38="yes",D38+F38&gt;0,E38&lt;1),IF((D38+F38)/(1-E38)*G38/(1+G38)&gt;B38,"up","hold"),"hold"))),"")</f>
        <v/>
      </c>
      <c r="O38" s="14" t="str">
        <f aca="false">IF(AND(ISNUMBER(B38),ISNUMBER(G38),ISNUMBER(H38)),ROUND(IF(N38="up",B38*(1+MIN(0.05,IF(ISNUMBER(M38),M38/B38-1,0.05))),IF(N38="down",B38*(1-MIN(0.05,1-M38/B38)),B38)),2),"")</f>
        <v/>
      </c>
      <c r="P38" s="25" t="str">
        <f aca="false">IF(AND(ISNUMBER(B38),ISNUMBER(G38),ISNUMBER(H38)),C38*(O38/B38)^G38*(O38*(1-E38)-D38-F38)-C38*K38,"")</f>
        <v/>
      </c>
      <c r="Q38" s="13" t="str">
        <f aca="false">IF(ISNUMBER(P38),RANK(P38,$P$5:$P$54),"")</f>
        <v/>
      </c>
    </row>
    <row r="39" customFormat="false" ht="15" hidden="false" customHeight="false" outlineLevel="0" collapsed="false">
      <c r="A39" s="6"/>
      <c r="B39" s="9"/>
      <c r="C39" s="8"/>
      <c r="D39" s="9"/>
      <c r="E39" s="21"/>
      <c r="F39" s="9"/>
      <c r="G39" s="22"/>
      <c r="H39" s="22"/>
      <c r="I39" s="22"/>
      <c r="J39" s="22"/>
      <c r="K39" s="14" t="str">
        <f aca="false">IF(AND(ISNUMBER(B39),ISNUMBER(G39),ISNUMBER(H39)),B39*(1-E39)-D39-F39,"")</f>
        <v/>
      </c>
      <c r="L39" s="2" t="str">
        <f aca="false">IF(AND(ISNUMBER(B39),ISNUMBER(G39),ISNUMBER(H39)),IF(OR(AND(I39&lt;=-1,J39&gt;=-1),ABS(1+G39)&lt;2*H39,AND(G39&lt;-1,H39/ABS(G39*(1+G39))&gt;0.5)),"yes","no"),"")</f>
        <v/>
      </c>
      <c r="M39" s="14" t="str">
        <f aca="false">IF(AND(ISNUMBER(B39),ISNUMBER(G39),ISNUMBER(H39)),IF(AND(L39="no",G39&lt;-1,D39+F39&gt;0,E39&lt;1),(D39+F39)/(1-E39)*G39/(1+G39),"none"),"")</f>
        <v/>
      </c>
      <c r="N39" s="2" t="str">
        <f aca="false">IF(AND(ISNUMBER(B39),ISNUMBER(G39),ISNUMBER(H39)),IF(ISNUMBER(M39),IF(M39&gt;B39,"up",IF(M39&lt;B39,"down","hold")),IF(G39&gt;=-1,"up",IF(AND(L39="yes",D39+F39&gt;0,E39&lt;1),IF((D39+F39)/(1-E39)*G39/(1+G39)&gt;B39,"up","hold"),"hold"))),"")</f>
        <v/>
      </c>
      <c r="O39" s="14" t="str">
        <f aca="false">IF(AND(ISNUMBER(B39),ISNUMBER(G39),ISNUMBER(H39)),ROUND(IF(N39="up",B39*(1+MIN(0.05,IF(ISNUMBER(M39),M39/B39-1,0.05))),IF(N39="down",B39*(1-MIN(0.05,1-M39/B39)),B39)),2),"")</f>
        <v/>
      </c>
      <c r="P39" s="25" t="str">
        <f aca="false">IF(AND(ISNUMBER(B39),ISNUMBER(G39),ISNUMBER(H39)),C39*(O39/B39)^G39*(O39*(1-E39)-D39-F39)-C39*K39,"")</f>
        <v/>
      </c>
      <c r="Q39" s="13" t="str">
        <f aca="false">IF(ISNUMBER(P39),RANK(P39,$P$5:$P$54),"")</f>
        <v/>
      </c>
    </row>
    <row r="40" customFormat="false" ht="15" hidden="false" customHeight="false" outlineLevel="0" collapsed="false">
      <c r="A40" s="6"/>
      <c r="B40" s="9"/>
      <c r="C40" s="8"/>
      <c r="D40" s="9"/>
      <c r="E40" s="21"/>
      <c r="F40" s="9"/>
      <c r="G40" s="22"/>
      <c r="H40" s="22"/>
      <c r="I40" s="22"/>
      <c r="J40" s="22"/>
      <c r="K40" s="14" t="str">
        <f aca="false">IF(AND(ISNUMBER(B40),ISNUMBER(G40),ISNUMBER(H40)),B40*(1-E40)-D40-F40,"")</f>
        <v/>
      </c>
      <c r="L40" s="2" t="str">
        <f aca="false">IF(AND(ISNUMBER(B40),ISNUMBER(G40),ISNUMBER(H40)),IF(OR(AND(I40&lt;=-1,J40&gt;=-1),ABS(1+G40)&lt;2*H40,AND(G40&lt;-1,H40/ABS(G40*(1+G40))&gt;0.5)),"yes","no"),"")</f>
        <v/>
      </c>
      <c r="M40" s="14" t="str">
        <f aca="false">IF(AND(ISNUMBER(B40),ISNUMBER(G40),ISNUMBER(H40)),IF(AND(L40="no",G40&lt;-1,D40+F40&gt;0,E40&lt;1),(D40+F40)/(1-E40)*G40/(1+G40),"none"),"")</f>
        <v/>
      </c>
      <c r="N40" s="2" t="str">
        <f aca="false">IF(AND(ISNUMBER(B40),ISNUMBER(G40),ISNUMBER(H40)),IF(ISNUMBER(M40),IF(M40&gt;B40,"up",IF(M40&lt;B40,"down","hold")),IF(G40&gt;=-1,"up",IF(AND(L40="yes",D40+F40&gt;0,E40&lt;1),IF((D40+F40)/(1-E40)*G40/(1+G40)&gt;B40,"up","hold"),"hold"))),"")</f>
        <v/>
      </c>
      <c r="O40" s="14" t="str">
        <f aca="false">IF(AND(ISNUMBER(B40),ISNUMBER(G40),ISNUMBER(H40)),ROUND(IF(N40="up",B40*(1+MIN(0.05,IF(ISNUMBER(M40),M40/B40-1,0.05))),IF(N40="down",B40*(1-MIN(0.05,1-M40/B40)),B40)),2),"")</f>
        <v/>
      </c>
      <c r="P40" s="25" t="str">
        <f aca="false">IF(AND(ISNUMBER(B40),ISNUMBER(G40),ISNUMBER(H40)),C40*(O40/B40)^G40*(O40*(1-E40)-D40-F40)-C40*K40,"")</f>
        <v/>
      </c>
      <c r="Q40" s="13" t="str">
        <f aca="false">IF(ISNUMBER(P40),RANK(P40,$P$5:$P$54),"")</f>
        <v/>
      </c>
    </row>
    <row r="41" customFormat="false" ht="15" hidden="false" customHeight="false" outlineLevel="0" collapsed="false">
      <c r="A41" s="6"/>
      <c r="B41" s="9"/>
      <c r="C41" s="8"/>
      <c r="D41" s="9"/>
      <c r="E41" s="21"/>
      <c r="F41" s="9"/>
      <c r="G41" s="22"/>
      <c r="H41" s="22"/>
      <c r="I41" s="22"/>
      <c r="J41" s="22"/>
      <c r="K41" s="14" t="str">
        <f aca="false">IF(AND(ISNUMBER(B41),ISNUMBER(G41),ISNUMBER(H41)),B41*(1-E41)-D41-F41,"")</f>
        <v/>
      </c>
      <c r="L41" s="2" t="str">
        <f aca="false">IF(AND(ISNUMBER(B41),ISNUMBER(G41),ISNUMBER(H41)),IF(OR(AND(I41&lt;=-1,J41&gt;=-1),ABS(1+G41)&lt;2*H41,AND(G41&lt;-1,H41/ABS(G41*(1+G41))&gt;0.5)),"yes","no"),"")</f>
        <v/>
      </c>
      <c r="M41" s="14" t="str">
        <f aca="false">IF(AND(ISNUMBER(B41),ISNUMBER(G41),ISNUMBER(H41)),IF(AND(L41="no",G41&lt;-1,D41+F41&gt;0,E41&lt;1),(D41+F41)/(1-E41)*G41/(1+G41),"none"),"")</f>
        <v/>
      </c>
      <c r="N41" s="2" t="str">
        <f aca="false">IF(AND(ISNUMBER(B41),ISNUMBER(G41),ISNUMBER(H41)),IF(ISNUMBER(M41),IF(M41&gt;B41,"up",IF(M41&lt;B41,"down","hold")),IF(G41&gt;=-1,"up",IF(AND(L41="yes",D41+F41&gt;0,E41&lt;1),IF((D41+F41)/(1-E41)*G41/(1+G41)&gt;B41,"up","hold"),"hold"))),"")</f>
        <v/>
      </c>
      <c r="O41" s="14" t="str">
        <f aca="false">IF(AND(ISNUMBER(B41),ISNUMBER(G41),ISNUMBER(H41)),ROUND(IF(N41="up",B41*(1+MIN(0.05,IF(ISNUMBER(M41),M41/B41-1,0.05))),IF(N41="down",B41*(1-MIN(0.05,1-M41/B41)),B41)),2),"")</f>
        <v/>
      </c>
      <c r="P41" s="25" t="str">
        <f aca="false">IF(AND(ISNUMBER(B41),ISNUMBER(G41),ISNUMBER(H41)),C41*(O41/B41)^G41*(O41*(1-E41)-D41-F41)-C41*K41,"")</f>
        <v/>
      </c>
      <c r="Q41" s="13" t="str">
        <f aca="false">IF(ISNUMBER(P41),RANK(P41,$P$5:$P$54),"")</f>
        <v/>
      </c>
    </row>
    <row r="42" customFormat="false" ht="15" hidden="false" customHeight="false" outlineLevel="0" collapsed="false">
      <c r="A42" s="6"/>
      <c r="B42" s="9"/>
      <c r="C42" s="8"/>
      <c r="D42" s="9"/>
      <c r="E42" s="21"/>
      <c r="F42" s="9"/>
      <c r="G42" s="22"/>
      <c r="H42" s="22"/>
      <c r="I42" s="22"/>
      <c r="J42" s="22"/>
      <c r="K42" s="14" t="str">
        <f aca="false">IF(AND(ISNUMBER(B42),ISNUMBER(G42),ISNUMBER(H42)),B42*(1-E42)-D42-F42,"")</f>
        <v/>
      </c>
      <c r="L42" s="2" t="str">
        <f aca="false">IF(AND(ISNUMBER(B42),ISNUMBER(G42),ISNUMBER(H42)),IF(OR(AND(I42&lt;=-1,J42&gt;=-1),ABS(1+G42)&lt;2*H42,AND(G42&lt;-1,H42/ABS(G42*(1+G42))&gt;0.5)),"yes","no"),"")</f>
        <v/>
      </c>
      <c r="M42" s="14" t="str">
        <f aca="false">IF(AND(ISNUMBER(B42),ISNUMBER(G42),ISNUMBER(H42)),IF(AND(L42="no",G42&lt;-1,D42+F42&gt;0,E42&lt;1),(D42+F42)/(1-E42)*G42/(1+G42),"none"),"")</f>
        <v/>
      </c>
      <c r="N42" s="2" t="str">
        <f aca="false">IF(AND(ISNUMBER(B42),ISNUMBER(G42),ISNUMBER(H42)),IF(ISNUMBER(M42),IF(M42&gt;B42,"up",IF(M42&lt;B42,"down","hold")),IF(G42&gt;=-1,"up",IF(AND(L42="yes",D42+F42&gt;0,E42&lt;1),IF((D42+F42)/(1-E42)*G42/(1+G42)&gt;B42,"up","hold"),"hold"))),"")</f>
        <v/>
      </c>
      <c r="O42" s="14" t="str">
        <f aca="false">IF(AND(ISNUMBER(B42),ISNUMBER(G42),ISNUMBER(H42)),ROUND(IF(N42="up",B42*(1+MIN(0.05,IF(ISNUMBER(M42),M42/B42-1,0.05))),IF(N42="down",B42*(1-MIN(0.05,1-M42/B42)),B42)),2),"")</f>
        <v/>
      </c>
      <c r="P42" s="25" t="str">
        <f aca="false">IF(AND(ISNUMBER(B42),ISNUMBER(G42),ISNUMBER(H42)),C42*(O42/B42)^G42*(O42*(1-E42)-D42-F42)-C42*K42,"")</f>
        <v/>
      </c>
      <c r="Q42" s="13" t="str">
        <f aca="false">IF(ISNUMBER(P42),RANK(P42,$P$5:$P$54),"")</f>
        <v/>
      </c>
    </row>
    <row r="43" customFormat="false" ht="15" hidden="false" customHeight="false" outlineLevel="0" collapsed="false">
      <c r="A43" s="6"/>
      <c r="B43" s="9"/>
      <c r="C43" s="8"/>
      <c r="D43" s="9"/>
      <c r="E43" s="21"/>
      <c r="F43" s="9"/>
      <c r="G43" s="22"/>
      <c r="H43" s="22"/>
      <c r="I43" s="22"/>
      <c r="J43" s="22"/>
      <c r="K43" s="14" t="str">
        <f aca="false">IF(AND(ISNUMBER(B43),ISNUMBER(G43),ISNUMBER(H43)),B43*(1-E43)-D43-F43,"")</f>
        <v/>
      </c>
      <c r="L43" s="2" t="str">
        <f aca="false">IF(AND(ISNUMBER(B43),ISNUMBER(G43),ISNUMBER(H43)),IF(OR(AND(I43&lt;=-1,J43&gt;=-1),ABS(1+G43)&lt;2*H43,AND(G43&lt;-1,H43/ABS(G43*(1+G43))&gt;0.5)),"yes","no"),"")</f>
        <v/>
      </c>
      <c r="M43" s="14" t="str">
        <f aca="false">IF(AND(ISNUMBER(B43),ISNUMBER(G43),ISNUMBER(H43)),IF(AND(L43="no",G43&lt;-1,D43+F43&gt;0,E43&lt;1),(D43+F43)/(1-E43)*G43/(1+G43),"none"),"")</f>
        <v/>
      </c>
      <c r="N43" s="2" t="str">
        <f aca="false">IF(AND(ISNUMBER(B43),ISNUMBER(G43),ISNUMBER(H43)),IF(ISNUMBER(M43),IF(M43&gt;B43,"up",IF(M43&lt;B43,"down","hold")),IF(G43&gt;=-1,"up",IF(AND(L43="yes",D43+F43&gt;0,E43&lt;1),IF((D43+F43)/(1-E43)*G43/(1+G43)&gt;B43,"up","hold"),"hold"))),"")</f>
        <v/>
      </c>
      <c r="O43" s="14" t="str">
        <f aca="false">IF(AND(ISNUMBER(B43),ISNUMBER(G43),ISNUMBER(H43)),ROUND(IF(N43="up",B43*(1+MIN(0.05,IF(ISNUMBER(M43),M43/B43-1,0.05))),IF(N43="down",B43*(1-MIN(0.05,1-M43/B43)),B43)),2),"")</f>
        <v/>
      </c>
      <c r="P43" s="25" t="str">
        <f aca="false">IF(AND(ISNUMBER(B43),ISNUMBER(G43),ISNUMBER(H43)),C43*(O43/B43)^G43*(O43*(1-E43)-D43-F43)-C43*K43,"")</f>
        <v/>
      </c>
      <c r="Q43" s="13" t="str">
        <f aca="false">IF(ISNUMBER(P43),RANK(P43,$P$5:$P$54),"")</f>
        <v/>
      </c>
    </row>
    <row r="44" customFormat="false" ht="15" hidden="false" customHeight="false" outlineLevel="0" collapsed="false">
      <c r="A44" s="6"/>
      <c r="B44" s="9"/>
      <c r="C44" s="8"/>
      <c r="D44" s="9"/>
      <c r="E44" s="21"/>
      <c r="F44" s="9"/>
      <c r="G44" s="22"/>
      <c r="H44" s="22"/>
      <c r="I44" s="22"/>
      <c r="J44" s="22"/>
      <c r="K44" s="14" t="str">
        <f aca="false">IF(AND(ISNUMBER(B44),ISNUMBER(G44),ISNUMBER(H44)),B44*(1-E44)-D44-F44,"")</f>
        <v/>
      </c>
      <c r="L44" s="2" t="str">
        <f aca="false">IF(AND(ISNUMBER(B44),ISNUMBER(G44),ISNUMBER(H44)),IF(OR(AND(I44&lt;=-1,J44&gt;=-1),ABS(1+G44)&lt;2*H44,AND(G44&lt;-1,H44/ABS(G44*(1+G44))&gt;0.5)),"yes","no"),"")</f>
        <v/>
      </c>
      <c r="M44" s="14" t="str">
        <f aca="false">IF(AND(ISNUMBER(B44),ISNUMBER(G44),ISNUMBER(H44)),IF(AND(L44="no",G44&lt;-1,D44+F44&gt;0,E44&lt;1),(D44+F44)/(1-E44)*G44/(1+G44),"none"),"")</f>
        <v/>
      </c>
      <c r="N44" s="2" t="str">
        <f aca="false">IF(AND(ISNUMBER(B44),ISNUMBER(G44),ISNUMBER(H44)),IF(ISNUMBER(M44),IF(M44&gt;B44,"up",IF(M44&lt;B44,"down","hold")),IF(G44&gt;=-1,"up",IF(AND(L44="yes",D44+F44&gt;0,E44&lt;1),IF((D44+F44)/(1-E44)*G44/(1+G44)&gt;B44,"up","hold"),"hold"))),"")</f>
        <v/>
      </c>
      <c r="O44" s="14" t="str">
        <f aca="false">IF(AND(ISNUMBER(B44),ISNUMBER(G44),ISNUMBER(H44)),ROUND(IF(N44="up",B44*(1+MIN(0.05,IF(ISNUMBER(M44),M44/B44-1,0.05))),IF(N44="down",B44*(1-MIN(0.05,1-M44/B44)),B44)),2),"")</f>
        <v/>
      </c>
      <c r="P44" s="25" t="str">
        <f aca="false">IF(AND(ISNUMBER(B44),ISNUMBER(G44),ISNUMBER(H44)),C44*(O44/B44)^G44*(O44*(1-E44)-D44-F44)-C44*K44,"")</f>
        <v/>
      </c>
      <c r="Q44" s="13" t="str">
        <f aca="false">IF(ISNUMBER(P44),RANK(P44,$P$5:$P$54),"")</f>
        <v/>
      </c>
    </row>
    <row r="45" customFormat="false" ht="15" hidden="false" customHeight="false" outlineLevel="0" collapsed="false">
      <c r="A45" s="6"/>
      <c r="B45" s="9"/>
      <c r="C45" s="8"/>
      <c r="D45" s="9"/>
      <c r="E45" s="21"/>
      <c r="F45" s="9"/>
      <c r="G45" s="22"/>
      <c r="H45" s="22"/>
      <c r="I45" s="22"/>
      <c r="J45" s="22"/>
      <c r="K45" s="14" t="str">
        <f aca="false">IF(AND(ISNUMBER(B45),ISNUMBER(G45),ISNUMBER(H45)),B45*(1-E45)-D45-F45,"")</f>
        <v/>
      </c>
      <c r="L45" s="2" t="str">
        <f aca="false">IF(AND(ISNUMBER(B45),ISNUMBER(G45),ISNUMBER(H45)),IF(OR(AND(I45&lt;=-1,J45&gt;=-1),ABS(1+G45)&lt;2*H45,AND(G45&lt;-1,H45/ABS(G45*(1+G45))&gt;0.5)),"yes","no"),"")</f>
        <v/>
      </c>
      <c r="M45" s="14" t="str">
        <f aca="false">IF(AND(ISNUMBER(B45),ISNUMBER(G45),ISNUMBER(H45)),IF(AND(L45="no",G45&lt;-1,D45+F45&gt;0,E45&lt;1),(D45+F45)/(1-E45)*G45/(1+G45),"none"),"")</f>
        <v/>
      </c>
      <c r="N45" s="2" t="str">
        <f aca="false">IF(AND(ISNUMBER(B45),ISNUMBER(G45),ISNUMBER(H45)),IF(ISNUMBER(M45),IF(M45&gt;B45,"up",IF(M45&lt;B45,"down","hold")),IF(G45&gt;=-1,"up",IF(AND(L45="yes",D45+F45&gt;0,E45&lt;1),IF((D45+F45)/(1-E45)*G45/(1+G45)&gt;B45,"up","hold"),"hold"))),"")</f>
        <v/>
      </c>
      <c r="O45" s="14" t="str">
        <f aca="false">IF(AND(ISNUMBER(B45),ISNUMBER(G45),ISNUMBER(H45)),ROUND(IF(N45="up",B45*(1+MIN(0.05,IF(ISNUMBER(M45),M45/B45-1,0.05))),IF(N45="down",B45*(1-MIN(0.05,1-M45/B45)),B45)),2),"")</f>
        <v/>
      </c>
      <c r="P45" s="25" t="str">
        <f aca="false">IF(AND(ISNUMBER(B45),ISNUMBER(G45),ISNUMBER(H45)),C45*(O45/B45)^G45*(O45*(1-E45)-D45-F45)-C45*K45,"")</f>
        <v/>
      </c>
      <c r="Q45" s="13" t="str">
        <f aca="false">IF(ISNUMBER(P45),RANK(P45,$P$5:$P$54),"")</f>
        <v/>
      </c>
    </row>
    <row r="46" customFormat="false" ht="15" hidden="false" customHeight="false" outlineLevel="0" collapsed="false">
      <c r="A46" s="6"/>
      <c r="B46" s="9"/>
      <c r="C46" s="8"/>
      <c r="D46" s="9"/>
      <c r="E46" s="21"/>
      <c r="F46" s="9"/>
      <c r="G46" s="22"/>
      <c r="H46" s="22"/>
      <c r="I46" s="22"/>
      <c r="J46" s="22"/>
      <c r="K46" s="14" t="str">
        <f aca="false">IF(AND(ISNUMBER(B46),ISNUMBER(G46),ISNUMBER(H46)),B46*(1-E46)-D46-F46,"")</f>
        <v/>
      </c>
      <c r="L46" s="2" t="str">
        <f aca="false">IF(AND(ISNUMBER(B46),ISNUMBER(G46),ISNUMBER(H46)),IF(OR(AND(I46&lt;=-1,J46&gt;=-1),ABS(1+G46)&lt;2*H46,AND(G46&lt;-1,H46/ABS(G46*(1+G46))&gt;0.5)),"yes","no"),"")</f>
        <v/>
      </c>
      <c r="M46" s="14" t="str">
        <f aca="false">IF(AND(ISNUMBER(B46),ISNUMBER(G46),ISNUMBER(H46)),IF(AND(L46="no",G46&lt;-1,D46+F46&gt;0,E46&lt;1),(D46+F46)/(1-E46)*G46/(1+G46),"none"),"")</f>
        <v/>
      </c>
      <c r="N46" s="2" t="str">
        <f aca="false">IF(AND(ISNUMBER(B46),ISNUMBER(G46),ISNUMBER(H46)),IF(ISNUMBER(M46),IF(M46&gt;B46,"up",IF(M46&lt;B46,"down","hold")),IF(G46&gt;=-1,"up",IF(AND(L46="yes",D46+F46&gt;0,E46&lt;1),IF((D46+F46)/(1-E46)*G46/(1+G46)&gt;B46,"up","hold"),"hold"))),"")</f>
        <v/>
      </c>
      <c r="O46" s="14" t="str">
        <f aca="false">IF(AND(ISNUMBER(B46),ISNUMBER(G46),ISNUMBER(H46)),ROUND(IF(N46="up",B46*(1+MIN(0.05,IF(ISNUMBER(M46),M46/B46-1,0.05))),IF(N46="down",B46*(1-MIN(0.05,1-M46/B46)),B46)),2),"")</f>
        <v/>
      </c>
      <c r="P46" s="25" t="str">
        <f aca="false">IF(AND(ISNUMBER(B46),ISNUMBER(G46),ISNUMBER(H46)),C46*(O46/B46)^G46*(O46*(1-E46)-D46-F46)-C46*K46,"")</f>
        <v/>
      </c>
      <c r="Q46" s="13" t="str">
        <f aca="false">IF(ISNUMBER(P46),RANK(P46,$P$5:$P$54),"")</f>
        <v/>
      </c>
    </row>
    <row r="47" customFormat="false" ht="15" hidden="false" customHeight="false" outlineLevel="0" collapsed="false">
      <c r="A47" s="6"/>
      <c r="B47" s="9"/>
      <c r="C47" s="8"/>
      <c r="D47" s="9"/>
      <c r="E47" s="21"/>
      <c r="F47" s="9"/>
      <c r="G47" s="22"/>
      <c r="H47" s="22"/>
      <c r="I47" s="22"/>
      <c r="J47" s="22"/>
      <c r="K47" s="14" t="str">
        <f aca="false">IF(AND(ISNUMBER(B47),ISNUMBER(G47),ISNUMBER(H47)),B47*(1-E47)-D47-F47,"")</f>
        <v/>
      </c>
      <c r="L47" s="2" t="str">
        <f aca="false">IF(AND(ISNUMBER(B47),ISNUMBER(G47),ISNUMBER(H47)),IF(OR(AND(I47&lt;=-1,J47&gt;=-1),ABS(1+G47)&lt;2*H47,AND(G47&lt;-1,H47/ABS(G47*(1+G47))&gt;0.5)),"yes","no"),"")</f>
        <v/>
      </c>
      <c r="M47" s="14" t="str">
        <f aca="false">IF(AND(ISNUMBER(B47),ISNUMBER(G47),ISNUMBER(H47)),IF(AND(L47="no",G47&lt;-1,D47+F47&gt;0,E47&lt;1),(D47+F47)/(1-E47)*G47/(1+G47),"none"),"")</f>
        <v/>
      </c>
      <c r="N47" s="2" t="str">
        <f aca="false">IF(AND(ISNUMBER(B47),ISNUMBER(G47),ISNUMBER(H47)),IF(ISNUMBER(M47),IF(M47&gt;B47,"up",IF(M47&lt;B47,"down","hold")),IF(G47&gt;=-1,"up",IF(AND(L47="yes",D47+F47&gt;0,E47&lt;1),IF((D47+F47)/(1-E47)*G47/(1+G47)&gt;B47,"up","hold"),"hold"))),"")</f>
        <v/>
      </c>
      <c r="O47" s="14" t="str">
        <f aca="false">IF(AND(ISNUMBER(B47),ISNUMBER(G47),ISNUMBER(H47)),ROUND(IF(N47="up",B47*(1+MIN(0.05,IF(ISNUMBER(M47),M47/B47-1,0.05))),IF(N47="down",B47*(1-MIN(0.05,1-M47/B47)),B47)),2),"")</f>
        <v/>
      </c>
      <c r="P47" s="25" t="str">
        <f aca="false">IF(AND(ISNUMBER(B47),ISNUMBER(G47),ISNUMBER(H47)),C47*(O47/B47)^G47*(O47*(1-E47)-D47-F47)-C47*K47,"")</f>
        <v/>
      </c>
      <c r="Q47" s="13" t="str">
        <f aca="false">IF(ISNUMBER(P47),RANK(P47,$P$5:$P$54),"")</f>
        <v/>
      </c>
    </row>
    <row r="48" customFormat="false" ht="15" hidden="false" customHeight="false" outlineLevel="0" collapsed="false">
      <c r="A48" s="6"/>
      <c r="B48" s="9"/>
      <c r="C48" s="8"/>
      <c r="D48" s="9"/>
      <c r="E48" s="21"/>
      <c r="F48" s="9"/>
      <c r="G48" s="22"/>
      <c r="H48" s="22"/>
      <c r="I48" s="22"/>
      <c r="J48" s="22"/>
      <c r="K48" s="14" t="str">
        <f aca="false">IF(AND(ISNUMBER(B48),ISNUMBER(G48),ISNUMBER(H48)),B48*(1-E48)-D48-F48,"")</f>
        <v/>
      </c>
      <c r="L48" s="2" t="str">
        <f aca="false">IF(AND(ISNUMBER(B48),ISNUMBER(G48),ISNUMBER(H48)),IF(OR(AND(I48&lt;=-1,J48&gt;=-1),ABS(1+G48)&lt;2*H48,AND(G48&lt;-1,H48/ABS(G48*(1+G48))&gt;0.5)),"yes","no"),"")</f>
        <v/>
      </c>
      <c r="M48" s="14" t="str">
        <f aca="false">IF(AND(ISNUMBER(B48),ISNUMBER(G48),ISNUMBER(H48)),IF(AND(L48="no",G48&lt;-1,D48+F48&gt;0,E48&lt;1),(D48+F48)/(1-E48)*G48/(1+G48),"none"),"")</f>
        <v/>
      </c>
      <c r="N48" s="2" t="str">
        <f aca="false">IF(AND(ISNUMBER(B48),ISNUMBER(G48),ISNUMBER(H48)),IF(ISNUMBER(M48),IF(M48&gt;B48,"up",IF(M48&lt;B48,"down","hold")),IF(G48&gt;=-1,"up",IF(AND(L48="yes",D48+F48&gt;0,E48&lt;1),IF((D48+F48)/(1-E48)*G48/(1+G48)&gt;B48,"up","hold"),"hold"))),"")</f>
        <v/>
      </c>
      <c r="O48" s="14" t="str">
        <f aca="false">IF(AND(ISNUMBER(B48),ISNUMBER(G48),ISNUMBER(H48)),ROUND(IF(N48="up",B48*(1+MIN(0.05,IF(ISNUMBER(M48),M48/B48-1,0.05))),IF(N48="down",B48*(1-MIN(0.05,1-M48/B48)),B48)),2),"")</f>
        <v/>
      </c>
      <c r="P48" s="25" t="str">
        <f aca="false">IF(AND(ISNUMBER(B48),ISNUMBER(G48),ISNUMBER(H48)),C48*(O48/B48)^G48*(O48*(1-E48)-D48-F48)-C48*K48,"")</f>
        <v/>
      </c>
      <c r="Q48" s="13" t="str">
        <f aca="false">IF(ISNUMBER(P48),RANK(P48,$P$5:$P$54),"")</f>
        <v/>
      </c>
    </row>
    <row r="49" customFormat="false" ht="15" hidden="false" customHeight="false" outlineLevel="0" collapsed="false">
      <c r="A49" s="6"/>
      <c r="B49" s="9"/>
      <c r="C49" s="8"/>
      <c r="D49" s="9"/>
      <c r="E49" s="21"/>
      <c r="F49" s="9"/>
      <c r="G49" s="22"/>
      <c r="H49" s="22"/>
      <c r="I49" s="22"/>
      <c r="J49" s="22"/>
      <c r="K49" s="14" t="str">
        <f aca="false">IF(AND(ISNUMBER(B49),ISNUMBER(G49),ISNUMBER(H49)),B49*(1-E49)-D49-F49,"")</f>
        <v/>
      </c>
      <c r="L49" s="2" t="str">
        <f aca="false">IF(AND(ISNUMBER(B49),ISNUMBER(G49),ISNUMBER(H49)),IF(OR(AND(I49&lt;=-1,J49&gt;=-1),ABS(1+G49)&lt;2*H49,AND(G49&lt;-1,H49/ABS(G49*(1+G49))&gt;0.5)),"yes","no"),"")</f>
        <v/>
      </c>
      <c r="M49" s="14" t="str">
        <f aca="false">IF(AND(ISNUMBER(B49),ISNUMBER(G49),ISNUMBER(H49)),IF(AND(L49="no",G49&lt;-1,D49+F49&gt;0,E49&lt;1),(D49+F49)/(1-E49)*G49/(1+G49),"none"),"")</f>
        <v/>
      </c>
      <c r="N49" s="2" t="str">
        <f aca="false">IF(AND(ISNUMBER(B49),ISNUMBER(G49),ISNUMBER(H49)),IF(ISNUMBER(M49),IF(M49&gt;B49,"up",IF(M49&lt;B49,"down","hold")),IF(G49&gt;=-1,"up",IF(AND(L49="yes",D49+F49&gt;0,E49&lt;1),IF((D49+F49)/(1-E49)*G49/(1+G49)&gt;B49,"up","hold"),"hold"))),"")</f>
        <v/>
      </c>
      <c r="O49" s="14" t="str">
        <f aca="false">IF(AND(ISNUMBER(B49),ISNUMBER(G49),ISNUMBER(H49)),ROUND(IF(N49="up",B49*(1+MIN(0.05,IF(ISNUMBER(M49),M49/B49-1,0.05))),IF(N49="down",B49*(1-MIN(0.05,1-M49/B49)),B49)),2),"")</f>
        <v/>
      </c>
      <c r="P49" s="25" t="str">
        <f aca="false">IF(AND(ISNUMBER(B49),ISNUMBER(G49),ISNUMBER(H49)),C49*(O49/B49)^G49*(O49*(1-E49)-D49-F49)-C49*K49,"")</f>
        <v/>
      </c>
      <c r="Q49" s="13" t="str">
        <f aca="false">IF(ISNUMBER(P49),RANK(P49,$P$5:$P$54),"")</f>
        <v/>
      </c>
    </row>
    <row r="50" customFormat="false" ht="15" hidden="false" customHeight="false" outlineLevel="0" collapsed="false">
      <c r="A50" s="6"/>
      <c r="B50" s="9"/>
      <c r="C50" s="8"/>
      <c r="D50" s="9"/>
      <c r="E50" s="21"/>
      <c r="F50" s="9"/>
      <c r="G50" s="22"/>
      <c r="H50" s="22"/>
      <c r="I50" s="22"/>
      <c r="J50" s="22"/>
      <c r="K50" s="14" t="str">
        <f aca="false">IF(AND(ISNUMBER(B50),ISNUMBER(G50),ISNUMBER(H50)),B50*(1-E50)-D50-F50,"")</f>
        <v/>
      </c>
      <c r="L50" s="2" t="str">
        <f aca="false">IF(AND(ISNUMBER(B50),ISNUMBER(G50),ISNUMBER(H50)),IF(OR(AND(I50&lt;=-1,J50&gt;=-1),ABS(1+G50)&lt;2*H50,AND(G50&lt;-1,H50/ABS(G50*(1+G50))&gt;0.5)),"yes","no"),"")</f>
        <v/>
      </c>
      <c r="M50" s="14" t="str">
        <f aca="false">IF(AND(ISNUMBER(B50),ISNUMBER(G50),ISNUMBER(H50)),IF(AND(L50="no",G50&lt;-1,D50+F50&gt;0,E50&lt;1),(D50+F50)/(1-E50)*G50/(1+G50),"none"),"")</f>
        <v/>
      </c>
      <c r="N50" s="2" t="str">
        <f aca="false">IF(AND(ISNUMBER(B50),ISNUMBER(G50),ISNUMBER(H50)),IF(ISNUMBER(M50),IF(M50&gt;B50,"up",IF(M50&lt;B50,"down","hold")),IF(G50&gt;=-1,"up",IF(AND(L50="yes",D50+F50&gt;0,E50&lt;1),IF((D50+F50)/(1-E50)*G50/(1+G50)&gt;B50,"up","hold"),"hold"))),"")</f>
        <v/>
      </c>
      <c r="O50" s="14" t="str">
        <f aca="false">IF(AND(ISNUMBER(B50),ISNUMBER(G50),ISNUMBER(H50)),ROUND(IF(N50="up",B50*(1+MIN(0.05,IF(ISNUMBER(M50),M50/B50-1,0.05))),IF(N50="down",B50*(1-MIN(0.05,1-M50/B50)),B50)),2),"")</f>
        <v/>
      </c>
      <c r="P50" s="25" t="str">
        <f aca="false">IF(AND(ISNUMBER(B50),ISNUMBER(G50),ISNUMBER(H50)),C50*(O50/B50)^G50*(O50*(1-E50)-D50-F50)-C50*K50,"")</f>
        <v/>
      </c>
      <c r="Q50" s="13" t="str">
        <f aca="false">IF(ISNUMBER(P50),RANK(P50,$P$5:$P$54),"")</f>
        <v/>
      </c>
    </row>
    <row r="51" customFormat="false" ht="15" hidden="false" customHeight="false" outlineLevel="0" collapsed="false">
      <c r="A51" s="6"/>
      <c r="B51" s="9"/>
      <c r="C51" s="8"/>
      <c r="D51" s="9"/>
      <c r="E51" s="21"/>
      <c r="F51" s="9"/>
      <c r="G51" s="22"/>
      <c r="H51" s="22"/>
      <c r="I51" s="22"/>
      <c r="J51" s="22"/>
      <c r="K51" s="14" t="str">
        <f aca="false">IF(AND(ISNUMBER(B51),ISNUMBER(G51),ISNUMBER(H51)),B51*(1-E51)-D51-F51,"")</f>
        <v/>
      </c>
      <c r="L51" s="2" t="str">
        <f aca="false">IF(AND(ISNUMBER(B51),ISNUMBER(G51),ISNUMBER(H51)),IF(OR(AND(I51&lt;=-1,J51&gt;=-1),ABS(1+G51)&lt;2*H51,AND(G51&lt;-1,H51/ABS(G51*(1+G51))&gt;0.5)),"yes","no"),"")</f>
        <v/>
      </c>
      <c r="M51" s="14" t="str">
        <f aca="false">IF(AND(ISNUMBER(B51),ISNUMBER(G51),ISNUMBER(H51)),IF(AND(L51="no",G51&lt;-1,D51+F51&gt;0,E51&lt;1),(D51+F51)/(1-E51)*G51/(1+G51),"none"),"")</f>
        <v/>
      </c>
      <c r="N51" s="2" t="str">
        <f aca="false">IF(AND(ISNUMBER(B51),ISNUMBER(G51),ISNUMBER(H51)),IF(ISNUMBER(M51),IF(M51&gt;B51,"up",IF(M51&lt;B51,"down","hold")),IF(G51&gt;=-1,"up",IF(AND(L51="yes",D51+F51&gt;0,E51&lt;1),IF((D51+F51)/(1-E51)*G51/(1+G51)&gt;B51,"up","hold"),"hold"))),"")</f>
        <v/>
      </c>
      <c r="O51" s="14" t="str">
        <f aca="false">IF(AND(ISNUMBER(B51),ISNUMBER(G51),ISNUMBER(H51)),ROUND(IF(N51="up",B51*(1+MIN(0.05,IF(ISNUMBER(M51),M51/B51-1,0.05))),IF(N51="down",B51*(1-MIN(0.05,1-M51/B51)),B51)),2),"")</f>
        <v/>
      </c>
      <c r="P51" s="25" t="str">
        <f aca="false">IF(AND(ISNUMBER(B51),ISNUMBER(G51),ISNUMBER(H51)),C51*(O51/B51)^G51*(O51*(1-E51)-D51-F51)-C51*K51,"")</f>
        <v/>
      </c>
      <c r="Q51" s="13" t="str">
        <f aca="false">IF(ISNUMBER(P51),RANK(P51,$P$5:$P$54),"")</f>
        <v/>
      </c>
    </row>
    <row r="52" customFormat="false" ht="15" hidden="false" customHeight="false" outlineLevel="0" collapsed="false">
      <c r="A52" s="6"/>
      <c r="B52" s="9"/>
      <c r="C52" s="8"/>
      <c r="D52" s="9"/>
      <c r="E52" s="21"/>
      <c r="F52" s="9"/>
      <c r="G52" s="22"/>
      <c r="H52" s="22"/>
      <c r="I52" s="22"/>
      <c r="J52" s="22"/>
      <c r="K52" s="14" t="str">
        <f aca="false">IF(AND(ISNUMBER(B52),ISNUMBER(G52),ISNUMBER(H52)),B52*(1-E52)-D52-F52,"")</f>
        <v/>
      </c>
      <c r="L52" s="2" t="str">
        <f aca="false">IF(AND(ISNUMBER(B52),ISNUMBER(G52),ISNUMBER(H52)),IF(OR(AND(I52&lt;=-1,J52&gt;=-1),ABS(1+G52)&lt;2*H52,AND(G52&lt;-1,H52/ABS(G52*(1+G52))&gt;0.5)),"yes","no"),"")</f>
        <v/>
      </c>
      <c r="M52" s="14" t="str">
        <f aca="false">IF(AND(ISNUMBER(B52),ISNUMBER(G52),ISNUMBER(H52)),IF(AND(L52="no",G52&lt;-1,D52+F52&gt;0,E52&lt;1),(D52+F52)/(1-E52)*G52/(1+G52),"none"),"")</f>
        <v/>
      </c>
      <c r="N52" s="2" t="str">
        <f aca="false">IF(AND(ISNUMBER(B52),ISNUMBER(G52),ISNUMBER(H52)),IF(ISNUMBER(M52),IF(M52&gt;B52,"up",IF(M52&lt;B52,"down","hold")),IF(G52&gt;=-1,"up",IF(AND(L52="yes",D52+F52&gt;0,E52&lt;1),IF((D52+F52)/(1-E52)*G52/(1+G52)&gt;B52,"up","hold"),"hold"))),"")</f>
        <v/>
      </c>
      <c r="O52" s="14" t="str">
        <f aca="false">IF(AND(ISNUMBER(B52),ISNUMBER(G52),ISNUMBER(H52)),ROUND(IF(N52="up",B52*(1+MIN(0.05,IF(ISNUMBER(M52),M52/B52-1,0.05))),IF(N52="down",B52*(1-MIN(0.05,1-M52/B52)),B52)),2),"")</f>
        <v/>
      </c>
      <c r="P52" s="25" t="str">
        <f aca="false">IF(AND(ISNUMBER(B52),ISNUMBER(G52),ISNUMBER(H52)),C52*(O52/B52)^G52*(O52*(1-E52)-D52-F52)-C52*K52,"")</f>
        <v/>
      </c>
      <c r="Q52" s="13" t="str">
        <f aca="false">IF(ISNUMBER(P52),RANK(P52,$P$5:$P$54),"")</f>
        <v/>
      </c>
    </row>
    <row r="53" customFormat="false" ht="15" hidden="false" customHeight="false" outlineLevel="0" collapsed="false">
      <c r="A53" s="6"/>
      <c r="B53" s="9"/>
      <c r="C53" s="8"/>
      <c r="D53" s="9"/>
      <c r="E53" s="21"/>
      <c r="F53" s="9"/>
      <c r="G53" s="22"/>
      <c r="H53" s="22"/>
      <c r="I53" s="22"/>
      <c r="J53" s="22"/>
      <c r="K53" s="14" t="str">
        <f aca="false">IF(AND(ISNUMBER(B53),ISNUMBER(G53),ISNUMBER(H53)),B53*(1-E53)-D53-F53,"")</f>
        <v/>
      </c>
      <c r="L53" s="2" t="str">
        <f aca="false">IF(AND(ISNUMBER(B53),ISNUMBER(G53),ISNUMBER(H53)),IF(OR(AND(I53&lt;=-1,J53&gt;=-1),ABS(1+G53)&lt;2*H53,AND(G53&lt;-1,H53/ABS(G53*(1+G53))&gt;0.5)),"yes","no"),"")</f>
        <v/>
      </c>
      <c r="M53" s="14" t="str">
        <f aca="false">IF(AND(ISNUMBER(B53),ISNUMBER(G53),ISNUMBER(H53)),IF(AND(L53="no",G53&lt;-1,D53+F53&gt;0,E53&lt;1),(D53+F53)/(1-E53)*G53/(1+G53),"none"),"")</f>
        <v/>
      </c>
      <c r="N53" s="2" t="str">
        <f aca="false">IF(AND(ISNUMBER(B53),ISNUMBER(G53),ISNUMBER(H53)),IF(ISNUMBER(M53),IF(M53&gt;B53,"up",IF(M53&lt;B53,"down","hold")),IF(G53&gt;=-1,"up",IF(AND(L53="yes",D53+F53&gt;0,E53&lt;1),IF((D53+F53)/(1-E53)*G53/(1+G53)&gt;B53,"up","hold"),"hold"))),"")</f>
        <v/>
      </c>
      <c r="O53" s="14" t="str">
        <f aca="false">IF(AND(ISNUMBER(B53),ISNUMBER(G53),ISNUMBER(H53)),ROUND(IF(N53="up",B53*(1+MIN(0.05,IF(ISNUMBER(M53),M53/B53-1,0.05))),IF(N53="down",B53*(1-MIN(0.05,1-M53/B53)),B53)),2),"")</f>
        <v/>
      </c>
      <c r="P53" s="25" t="str">
        <f aca="false">IF(AND(ISNUMBER(B53),ISNUMBER(G53),ISNUMBER(H53)),C53*(O53/B53)^G53*(O53*(1-E53)-D53-F53)-C53*K53,"")</f>
        <v/>
      </c>
      <c r="Q53" s="13" t="str">
        <f aca="false">IF(ISNUMBER(P53),RANK(P53,$P$5:$P$54),"")</f>
        <v/>
      </c>
    </row>
    <row r="54" customFormat="false" ht="15" hidden="false" customHeight="false" outlineLevel="0" collapsed="false">
      <c r="A54" s="6"/>
      <c r="B54" s="9"/>
      <c r="C54" s="8"/>
      <c r="D54" s="9"/>
      <c r="E54" s="21"/>
      <c r="F54" s="9"/>
      <c r="G54" s="22"/>
      <c r="H54" s="22"/>
      <c r="I54" s="22"/>
      <c r="J54" s="22"/>
      <c r="K54" s="14" t="str">
        <f aca="false">IF(AND(ISNUMBER(B54),ISNUMBER(G54),ISNUMBER(H54)),B54*(1-E54)-D54-F54,"")</f>
        <v/>
      </c>
      <c r="L54" s="2" t="str">
        <f aca="false">IF(AND(ISNUMBER(B54),ISNUMBER(G54),ISNUMBER(H54)),IF(OR(AND(I54&lt;=-1,J54&gt;=-1),ABS(1+G54)&lt;2*H54,AND(G54&lt;-1,H54/ABS(G54*(1+G54))&gt;0.5)),"yes","no"),"")</f>
        <v/>
      </c>
      <c r="M54" s="14" t="str">
        <f aca="false">IF(AND(ISNUMBER(B54),ISNUMBER(G54),ISNUMBER(H54)),IF(AND(L54="no",G54&lt;-1,D54+F54&gt;0,E54&lt;1),(D54+F54)/(1-E54)*G54/(1+G54),"none"),"")</f>
        <v/>
      </c>
      <c r="N54" s="2" t="str">
        <f aca="false">IF(AND(ISNUMBER(B54),ISNUMBER(G54),ISNUMBER(H54)),IF(ISNUMBER(M54),IF(M54&gt;B54,"up",IF(M54&lt;B54,"down","hold")),IF(G54&gt;=-1,"up",IF(AND(L54="yes",D54+F54&gt;0,E54&lt;1),IF((D54+F54)/(1-E54)*G54/(1+G54)&gt;B54,"up","hold"),"hold"))),"")</f>
        <v/>
      </c>
      <c r="O54" s="14" t="str">
        <f aca="false">IF(AND(ISNUMBER(B54),ISNUMBER(G54),ISNUMBER(H54)),ROUND(IF(N54="up",B54*(1+MIN(0.05,IF(ISNUMBER(M54),M54/B54-1,0.05))),IF(N54="down",B54*(1-MIN(0.05,1-M54/B54)),B54)),2),"")</f>
        <v/>
      </c>
      <c r="P54" s="25" t="str">
        <f aca="false">IF(AND(ISNUMBER(B54),ISNUMBER(G54),ISNUMBER(H54)),C54*(O54/B54)^G54*(O54*(1-E54)-D54-F54)-C54*K54,"")</f>
        <v/>
      </c>
      <c r="Q54" s="13" t="str">
        <f aca="false">IF(ISNUMBER(P54),RANK(P54,$P$5:$P$54),"")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2026-10-06T06:52:31Z</dcterms:created>
  <dc:creator>Hubricon</dc:creator>
  <dc:description/>
  <dc:language>en-US</dc:language>
  <cp:lastModifiedBy/>
  <dcterms:modified xsi:type="dcterms:W3CDTF">2026-10-06T06:52:31Z</dcterms:modified>
  <cp:revision>0</cp:revision>
  <dc:subject/>
  <dc:title>The Price Curve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